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activeTab="0"/>
  </bookViews>
  <sheets>
    <sheet name="IO-540-D, -N, -R, -T &amp; -V Power" sheetId="1" r:id="rId1"/>
    <sheet name="Version History" sheetId="2" r:id="rId2"/>
    <sheet name="Notes" sheetId="3" r:id="rId3"/>
  </sheets>
  <definedNames>
    <definedName name="ALT2">'IO-540-D, -N, -R, -T &amp; -V Power'!$C$50:$C$59</definedName>
    <definedName name="density_ration_at_ALT2">'IO-540-D, -N, -R, -T &amp; -V Power'!$D$50:$D$59</definedName>
    <definedName name="hp_at_ALT2">'IO-540-D, -N, -R, -T &amp; -V Power'!$E$50:$E$59</definedName>
    <definedName name="hp_at_altitude">'IO-540-D, -N, -R, -T &amp; -V Power'!$A$50:$E$59</definedName>
    <definedName name="hp_at_sea_level">'IO-540-D, -N, -R, -T &amp; -V Power'!$B$50:$B$59</definedName>
    <definedName name="max_hp">'IO-540-D, -N, -R, -T &amp; -V Power'!$J$25:$J$34</definedName>
    <definedName name="max_MP">'IO-540-D, -N, -R, -T &amp; -V Power'!$I$25:$I$34</definedName>
    <definedName name="min_hp">'IO-540-D, -N, -R, -T &amp; -V Power'!$H$25:$H$34</definedName>
    <definedName name="min_MP">'IO-540-D, -N, -R, -T &amp; -V Power'!$G$25:$G$34</definedName>
    <definedName name="rpm">'IO-540-D, -N, -R, -T &amp; -V Power'!$F$25:$F$34</definedName>
    <definedName name="rpm_at_altitude">'IO-540-D, -N, -R, -T &amp; -V Power'!$A$50:$A$59</definedName>
    <definedName name="rpm_input">'IO-540-D, -N, -R, -T &amp; -V Power'!$A$6:$B$6</definedName>
    <definedName name="sea_level_data">'IO-540-D, -N, -R, -T &amp; -V Power'!$F$25:$J$35</definedName>
    <definedName name="temp_actual">'IO-540-D, -N, -R, -T &amp; -V Power'!$B$9</definedName>
    <definedName name="temp_unit">'IO-540-D, -N, -R, -T &amp; -V Power'!$B$8</definedName>
  </definedNames>
  <calcPr fullCalcOnLoad="1"/>
</workbook>
</file>

<file path=xl/comments1.xml><?xml version="1.0" encoding="utf-8"?>
<comments xmlns="http://schemas.openxmlformats.org/spreadsheetml/2006/main">
  <authors>
    <author/>
  </authors>
  <commentList>
    <comment ref="G48" authorId="0">
      <text>
        <r>
          <rPr>
            <sz val="12"/>
            <color indexed="8"/>
            <rFont val="Arial"/>
            <family val="2"/>
          </rPr>
          <t>Note: A squared distribution of full throttle altitude vs rpm is used to approximate the shape of the lines on the Lycoming graph.  The values at max and min rpm are further tweaked to get a smoother distribution of pressure loss, as displayed lower down.</t>
        </r>
      </text>
    </comment>
  </commentList>
</comments>
</file>

<file path=xl/sharedStrings.xml><?xml version="1.0" encoding="utf-8"?>
<sst xmlns="http://schemas.openxmlformats.org/spreadsheetml/2006/main" count="101" uniqueCount="87">
  <si>
    <t>Lycoming IO-540-D, -N, -R, -T, &amp; -V series Power Chart</t>
  </si>
  <si>
    <t>by Kevin Horton - kevin01@kilohotel.com, www.kilohotel.com/rv8</t>
  </si>
  <si>
    <t>data from Lycoming curve C-12958 - valid at maximum power mixture only</t>
  </si>
  <si>
    <t>User Input Data</t>
  </si>
  <si>
    <t>Altitude (ft):</t>
  </si>
  <si>
    <t>rpm input:</t>
  </si>
  <si>
    <t>MP (in HG):</t>
  </si>
  <si>
    <t>temperature units (F or C):</t>
  </si>
  <si>
    <t>F</t>
  </si>
  <si>
    <t>Relative humidity (%):</t>
  </si>
  <si>
    <t>not implemented</t>
  </si>
  <si>
    <t>Rated Power (hp)</t>
  </si>
  <si>
    <t>Rated rpm</t>
  </si>
  <si>
    <t>Calculated Data</t>
  </si>
  <si>
    <t>hp</t>
  </si>
  <si>
    <t>(% power)</t>
  </si>
  <si>
    <t>power at actual temperature=</t>
  </si>
  <si>
    <t>power at standard temperature - 20 deg F=</t>
  </si>
  <si>
    <t>power at standard temperature=</t>
  </si>
  <si>
    <t>power at standard temperature + 20 deg F=</t>
  </si>
  <si>
    <t>Sea Level Part Throttle Data</t>
  </si>
  <si>
    <t>Data in shaded cells drives the whole calculation</t>
  </si>
  <si>
    <t>Data for spreadsheet</t>
  </si>
  <si>
    <t>rpm</t>
  </si>
  <si>
    <t>MP</t>
  </si>
  <si>
    <t>Power</t>
  </si>
  <si>
    <t>min MP</t>
  </si>
  <si>
    <t>min hp</t>
  </si>
  <si>
    <t>max MP</t>
  </si>
  <si>
    <t>max hp</t>
  </si>
  <si>
    <t>Full Throttle Data (at altitude)</t>
  </si>
  <si>
    <t>Data from graph</t>
  </si>
  <si>
    <t>Full Throttle altitudes at MP</t>
  </si>
  <si>
    <t>Data for calculation - density ratios at MP</t>
  </si>
  <si>
    <t>rpm at altitude</t>
  </si>
  <si>
    <t>hp at sea level</t>
  </si>
  <si>
    <t>ALT2</t>
  </si>
  <si>
    <t>density ratio at ALT2</t>
  </si>
  <si>
    <t>hp at ALT2</t>
  </si>
  <si>
    <t>FT MP @ MSL</t>
  </si>
  <si>
    <t>DR at this MP from altitude lines</t>
  </si>
  <si>
    <t>These values are used to manually smooth the data</t>
  </si>
  <si>
    <t>Pressure loss/pressure/rpm*10000 (use to smooth data someday)</t>
  </si>
  <si>
    <t>average</t>
  </si>
  <si>
    <t>slope</t>
  </si>
  <si>
    <t>y intercept</t>
  </si>
  <si>
    <t>Sea Level, part throttle power calc</t>
  </si>
  <si>
    <t>Full throttle power at altitude calc</t>
  </si>
  <si>
    <t>data for (in HG)</t>
  </si>
  <si>
    <t>density ratio at FT</t>
  </si>
  <si>
    <t>data for (rpm)</t>
  </si>
  <si>
    <t>density ratio at sea level</t>
  </si>
  <si>
    <t>hp at FT</t>
  </si>
  <si>
    <t>Calculation at actual altitude</t>
  </si>
  <si>
    <t>density ratio at actual altitude</t>
  </si>
  <si>
    <t>hp at actual altitude (standard temp)</t>
  </si>
  <si>
    <t>Temperature correction</t>
  </si>
  <si>
    <t>Actual temp (deg C)</t>
  </si>
  <si>
    <t>Standard temp (deg C)</t>
  </si>
  <si>
    <t>Corrected power at actual temp</t>
  </si>
  <si>
    <t>Correction from Lycoming</t>
  </si>
  <si>
    <t>Temp at ISA - 20 deg F(deg C)</t>
  </si>
  <si>
    <t>Power at ISA - 20 deg F</t>
  </si>
  <si>
    <t>Temp at ISA + 20 deg F (deg C)</t>
  </si>
  <si>
    <t>Power at ISA + 20 deg F</t>
  </si>
  <si>
    <t xml:space="preserve">Version history </t>
  </si>
  <si>
    <t>Draft 0  - 12 Jul 2010 - Initial draft.  Essentially untested.  Has issues with rpm greater than or equal to 2700.</t>
  </si>
  <si>
    <t>Draft 1  - 13 Jul 2010 – Corrected anchor points on LH end of power vs altitude lines to make them match sea level FT power.  Corrected behaviour above max rated rpm.</t>
  </si>
  <si>
    <t>Draft 2  - 13 Jul 2010 – Working on anomalous above MSL at MP = FT MP from graph</t>
  </si>
  <si>
    <t>Draft 3 – 15 Jul 2010 – More work on anomalous above MSL at MP = FT MP from graph</t>
  </si>
  <si>
    <t>V1 - 11 Aug 2010 - First official release.  Validated output against data in PA-24-260 POH.</t>
  </si>
  <si>
    <t>Notes</t>
  </si>
  <si>
    <t>Data from Lycoming curve C-12958 - valid at maximum power mixture only</t>
  </si>
  <si>
    <t xml:space="preserve">The spreadsheet uses the same method as shown on the Lycoming power charts to </t>
  </si>
  <si>
    <t>determine partial throttle power at altitude.</t>
  </si>
  <si>
    <t>This method works poorly at MP equal to or greater than the predicted full throttle MP at sea level, if that MP can</t>
  </si>
  <si>
    <t>be achieved at some altitude above sea level (e.g. ram pressure rise on a fast aircraft with very efficient air box)</t>
  </si>
  <si>
    <t xml:space="preserve">The problem is that this method extrapolates from two points on a line – </t>
  </si>
  <si>
    <t>one at the sea level rpm and MP combination (left side of Lycoming chart) and</t>
  </si>
  <si>
    <t>one at the rpm and MP combination at altitude (right side of Lycoming chart).</t>
  </si>
  <si>
    <t>These two points are at the same power if the MP equals the full throttle MP from the Lycoming chart.</t>
  </si>
  <si>
    <t xml:space="preserve">Conclusion – the power chart is not reliable at MP approximately equal to or greater than the predicted sea level full throttle MP </t>
  </si>
  <si>
    <t xml:space="preserve">at altitudes above sea level.   </t>
  </si>
  <si>
    <t>The output of the spreadsheet was checked against the power table in the POH for a Piper PA-24-260.</t>
  </si>
  <si>
    <t>There was good agreement between the POH and this spreadsheet from 2100 rpm to 2400 rpm.</t>
  </si>
  <si>
    <t>The POH and the spreadsheet differed at 2500 rpm.  The POH was compared against the Lycoming power chart,</t>
  </si>
  <si>
    <t>and it did not agree at 2500 rpm.  The spreadsheet output at 2500 rpm does agree with the Lycoming power chart.</t>
  </si>
</sst>
</file>

<file path=xl/styles.xml><?xml version="1.0" encoding="utf-8"?>
<styleSheet xmlns="http://schemas.openxmlformats.org/spreadsheetml/2006/main">
  <numFmts count="6">
    <numFmt numFmtId="164" formatCode="GENERAL"/>
    <numFmt numFmtId="165" formatCode="0.00E+000"/>
    <numFmt numFmtId="166" formatCode="0.0"/>
    <numFmt numFmtId="167" formatCode="0"/>
    <numFmt numFmtId="168" formatCode="0.0%"/>
    <numFmt numFmtId="169" formatCode="0.00"/>
  </numFmts>
  <fonts count="6">
    <font>
      <sz val="12"/>
      <color indexed="8"/>
      <name val="Arial"/>
      <family val="2"/>
    </font>
    <font>
      <sz val="10"/>
      <name val="Arial"/>
      <family val="0"/>
    </font>
    <font>
      <b/>
      <sz val="14"/>
      <color indexed="8"/>
      <name val="Arial"/>
      <family val="2"/>
    </font>
    <font>
      <sz val="9"/>
      <color indexed="8"/>
      <name val="Geneva"/>
      <family val="2"/>
    </font>
    <font>
      <b/>
      <sz val="12"/>
      <color indexed="8"/>
      <name val="Arial"/>
      <family val="2"/>
    </font>
    <font>
      <b/>
      <sz val="8"/>
      <name val="Arial"/>
      <family val="2"/>
    </font>
  </fonts>
  <fills count="4">
    <fill>
      <patternFill/>
    </fill>
    <fill>
      <patternFill patternType="gray125"/>
    </fill>
    <fill>
      <patternFill patternType="solid">
        <fgColor indexed="53"/>
        <bgColor indexed="64"/>
      </patternFill>
    </fill>
    <fill>
      <patternFill patternType="solid">
        <fgColor indexed="50"/>
        <bgColor indexed="64"/>
      </patternFill>
    </fill>
  </fills>
  <borders count="1">
    <border>
      <left/>
      <right/>
      <top/>
      <bottom/>
      <diagonal/>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locked="0"/>
    </xf>
    <xf numFmtId="164" fontId="0" fillId="0" borderId="0">
      <alignment/>
      <protection locked="0"/>
    </xf>
    <xf numFmtId="164" fontId="0" fillId="0" borderId="0">
      <alignment/>
      <protection locked="0"/>
    </xf>
    <xf numFmtId="164" fontId="0" fillId="0" borderId="0">
      <alignment/>
      <protection locked="0"/>
    </xf>
    <xf numFmtId="164" fontId="0" fillId="0" borderId="0">
      <alignment/>
      <protection locked="0"/>
    </xf>
    <xf numFmtId="164" fontId="3" fillId="0" borderId="0">
      <alignment/>
      <protection locked="0"/>
    </xf>
  </cellStyleXfs>
  <cellXfs count="24">
    <xf numFmtId="164" fontId="0" fillId="0" borderId="0" xfId="0" applyAlignment="1">
      <alignment/>
    </xf>
    <xf numFmtId="164" fontId="0" fillId="0" borderId="0" xfId="21" applyBorder="1">
      <alignment/>
      <protection locked="0"/>
    </xf>
    <xf numFmtId="164" fontId="0" fillId="0" borderId="0" xfId="0" applyFont="1" applyBorder="1" applyAlignment="1">
      <alignment/>
    </xf>
    <xf numFmtId="164" fontId="4" fillId="0" borderId="0" xfId="0" applyFont="1" applyBorder="1" applyAlignment="1">
      <alignment/>
    </xf>
    <xf numFmtId="164" fontId="0" fillId="0" borderId="0" xfId="21" applyFont="1" applyBorder="1">
      <alignment/>
      <protection locked="0"/>
    </xf>
    <xf numFmtId="164" fontId="0" fillId="0" borderId="0" xfId="0" applyFont="1" applyBorder="1" applyAlignment="1" applyProtection="1">
      <alignment/>
      <protection locked="0"/>
    </xf>
    <xf numFmtId="165" fontId="0" fillId="0" borderId="0" xfId="21" applyNumberFormat="1" applyBorder="1">
      <alignment/>
      <protection locked="0"/>
    </xf>
    <xf numFmtId="166" fontId="0" fillId="0" borderId="0" xfId="0" applyNumberFormat="1" applyFont="1" applyBorder="1" applyAlignment="1" applyProtection="1">
      <alignment/>
      <protection locked="0"/>
    </xf>
    <xf numFmtId="164" fontId="0" fillId="0" borderId="0" xfId="0" applyFont="1" applyBorder="1" applyAlignment="1" applyProtection="1">
      <alignment horizontal="right"/>
      <protection locked="0"/>
    </xf>
    <xf numFmtId="164" fontId="0" fillId="0" borderId="0" xfId="21" applyFont="1" applyBorder="1" applyProtection="1">
      <alignment/>
      <protection locked="0"/>
    </xf>
    <xf numFmtId="164" fontId="0" fillId="2" borderId="0" xfId="0" applyFont="1" applyFill="1" applyBorder="1" applyAlignment="1" applyProtection="1">
      <alignment/>
      <protection/>
    </xf>
    <xf numFmtId="164" fontId="0" fillId="0" borderId="0" xfId="0" applyFont="1" applyBorder="1" applyAlignment="1">
      <alignment horizontal="right"/>
    </xf>
    <xf numFmtId="167" fontId="0" fillId="0" borderId="0" xfId="0" applyNumberFormat="1" applyFont="1" applyBorder="1" applyAlignment="1" applyProtection="1">
      <alignment/>
      <protection locked="0"/>
    </xf>
    <xf numFmtId="168" fontId="0" fillId="0" borderId="0" xfId="0" applyNumberFormat="1" applyFont="1" applyBorder="1" applyAlignment="1">
      <alignment/>
    </xf>
    <xf numFmtId="167" fontId="0" fillId="0" borderId="0" xfId="0" applyNumberFormat="1" applyFont="1" applyBorder="1" applyAlignment="1">
      <alignment/>
    </xf>
    <xf numFmtId="169" fontId="4" fillId="0" borderId="0" xfId="0" applyNumberFormat="1" applyFont="1" applyBorder="1" applyAlignment="1">
      <alignment/>
    </xf>
    <xf numFmtId="164" fontId="0" fillId="2" borderId="0" xfId="0" applyFont="1" applyFill="1" applyBorder="1" applyAlignment="1">
      <alignment/>
    </xf>
    <xf numFmtId="164" fontId="0" fillId="0" borderId="0" xfId="21" applyFill="1" applyBorder="1">
      <alignment/>
      <protection locked="0"/>
    </xf>
    <xf numFmtId="164" fontId="0" fillId="0" borderId="0" xfId="0" applyFont="1" applyFill="1" applyBorder="1" applyAlignment="1">
      <alignment/>
    </xf>
    <xf numFmtId="164" fontId="0" fillId="2" borderId="0" xfId="21" applyFill="1" applyBorder="1">
      <alignment/>
      <protection locked="0"/>
    </xf>
    <xf numFmtId="164" fontId="3" fillId="2" borderId="0" xfId="25" applyFill="1" applyBorder="1">
      <alignment/>
      <protection locked="0"/>
    </xf>
    <xf numFmtId="167" fontId="0" fillId="0" borderId="0" xfId="0" applyNumberFormat="1" applyFont="1" applyFill="1" applyBorder="1" applyAlignment="1">
      <alignment/>
    </xf>
    <xf numFmtId="164" fontId="0" fillId="3" borderId="0" xfId="21" applyFill="1" applyBorder="1">
      <alignment/>
      <protection locked="0"/>
    </xf>
    <xf numFmtId="164" fontId="0" fillId="3" borderId="0" xfId="0" applyFont="1" applyFill="1" applyBorder="1" applyAlignment="1">
      <alignment/>
    </xf>
  </cellXfs>
  <cellStyles count="12">
    <cellStyle name="Normal" xfId="0"/>
    <cellStyle name="Comma" xfId="15"/>
    <cellStyle name="Comma [0]" xfId="16"/>
    <cellStyle name="Currency" xfId="17"/>
    <cellStyle name="Currency [0]" xfId="18"/>
    <cellStyle name="Percent" xfId="19"/>
    <cellStyle name="Body" xfId="20"/>
    <cellStyle name="Default 1 1" xfId="21"/>
    <cellStyle name="Default SS" xfId="22"/>
    <cellStyle name="Default TB" xfId="23"/>
    <cellStyle name="Footer" xfId="24"/>
    <cellStyle name="Header"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EB613D"/>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lohotel.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31"/>
  <sheetViews>
    <sheetView tabSelected="1" showOutlineSymbols="0" workbookViewId="0" topLeftCell="A1">
      <selection activeCell="A152" sqref="A152"/>
    </sheetView>
  </sheetViews>
  <sheetFormatPr defaultColWidth="14.21484375" defaultRowHeight="15"/>
  <cols>
    <col min="1" max="1" width="48.77734375" style="1" customWidth="1"/>
    <col min="2" max="2" width="9.6640625" style="1" customWidth="1"/>
    <col min="3" max="3" width="11.3359375" style="1" customWidth="1"/>
    <col min="4" max="4" width="9.21484375" style="1" customWidth="1"/>
    <col min="5" max="5" width="25.10546875" style="1" customWidth="1"/>
    <col min="6" max="7" width="12.99609375" style="1" customWidth="1"/>
    <col min="8" max="8" width="14.6640625" style="1" customWidth="1"/>
    <col min="9" max="33" width="12.99609375" style="1" customWidth="1"/>
    <col min="34" max="16384" width="14.3359375" style="2" customWidth="1"/>
  </cols>
  <sheetData>
    <row r="1" spans="1:3" ht="12.75" customHeight="1">
      <c r="A1" s="3" t="s">
        <v>0</v>
      </c>
      <c r="B1" s="4"/>
      <c r="C1" s="2" t="s">
        <v>1</v>
      </c>
    </row>
    <row r="2" spans="1:3" ht="12.75" customHeight="1">
      <c r="A2" s="2" t="s">
        <v>2</v>
      </c>
      <c r="B2" s="4"/>
      <c r="C2" s="4"/>
    </row>
    <row r="3" spans="1:3" ht="12.75" customHeight="1">
      <c r="A3" s="4"/>
      <c r="B3" s="4"/>
      <c r="C3" s="4"/>
    </row>
    <row r="4" spans="1:5" ht="12.75" customHeight="1">
      <c r="A4" s="3" t="s">
        <v>3</v>
      </c>
      <c r="B4" s="4"/>
      <c r="C4" s="4"/>
      <c r="E4" s="2"/>
    </row>
    <row r="5" spans="1:5" ht="12.75" customHeight="1">
      <c r="A5" s="2" t="s">
        <v>4</v>
      </c>
      <c r="B5" s="5">
        <v>8000</v>
      </c>
      <c r="C5" s="4"/>
      <c r="E5" s="4"/>
    </row>
    <row r="6" spans="1:5" ht="12.75" customHeight="1">
      <c r="A6" s="2" t="s">
        <v>5</v>
      </c>
      <c r="B6" s="5">
        <v>2400</v>
      </c>
      <c r="C6" s="4"/>
      <c r="D6" s="6"/>
      <c r="E6" s="4"/>
    </row>
    <row r="7" spans="1:5" ht="12.75" customHeight="1">
      <c r="A7" s="2" t="s">
        <v>6</v>
      </c>
      <c r="B7" s="7">
        <v>23</v>
      </c>
      <c r="C7" s="4"/>
      <c r="E7" s="4"/>
    </row>
    <row r="8" spans="1:5" ht="12.75" customHeight="1">
      <c r="A8" s="2" t="s">
        <v>7</v>
      </c>
      <c r="B8" s="8" t="s">
        <v>8</v>
      </c>
      <c r="C8" s="4"/>
      <c r="E8" s="4"/>
    </row>
    <row r="9" spans="1:3" ht="12.75" customHeight="1">
      <c r="A9" s="2" t="str">
        <f>IF(B8="c","temperature (deg C):",IF(B8="f","temperature (deg F):","enter F or C for temperature units"))</f>
        <v>temperature (deg F):</v>
      </c>
      <c r="B9" s="5">
        <v>60</v>
      </c>
      <c r="C9" s="4"/>
    </row>
    <row r="10" spans="1:3" ht="12.75" customHeight="1" hidden="1">
      <c r="A10" s="2" t="s">
        <v>9</v>
      </c>
      <c r="B10" s="9" t="s">
        <v>10</v>
      </c>
      <c r="C10" s="4"/>
    </row>
    <row r="11" spans="1:3" ht="12.75" customHeight="1" hidden="1">
      <c r="A11" s="2" t="s">
        <v>11</v>
      </c>
      <c r="B11" s="10">
        <v>260</v>
      </c>
      <c r="C11" s="4"/>
    </row>
    <row r="12" spans="1:3" ht="12.75" customHeight="1" hidden="1">
      <c r="A12" s="4" t="s">
        <v>12</v>
      </c>
      <c r="B12" s="4">
        <v>2700</v>
      </c>
      <c r="C12" s="4"/>
    </row>
    <row r="13" spans="1:3" ht="12.75" customHeight="1">
      <c r="A13" s="4"/>
      <c r="B13" s="4"/>
      <c r="C13" s="4"/>
    </row>
    <row r="14" spans="1:3" ht="12.75" customHeight="1">
      <c r="A14" s="3" t="s">
        <v>13</v>
      </c>
      <c r="B14" s="11" t="s">
        <v>14</v>
      </c>
      <c r="C14" s="11" t="s">
        <v>15</v>
      </c>
    </row>
    <row r="15" spans="1:3" ht="12.75" customHeight="1">
      <c r="A15" s="2" t="s">
        <v>16</v>
      </c>
      <c r="B15" s="12">
        <f>B125</f>
        <v>189.70420383793254</v>
      </c>
      <c r="C15" s="13">
        <f>B15/B$11</f>
        <v>0.7296315532228175</v>
      </c>
    </row>
    <row r="16" spans="1:3" ht="12.75" customHeight="1">
      <c r="A16" s="2" t="s">
        <v>17</v>
      </c>
      <c r="B16" s="14">
        <f>B128</f>
        <v>199.44669495982077</v>
      </c>
      <c r="C16" s="13">
        <f>B16/B$11</f>
        <v>0.7671026729223875</v>
      </c>
    </row>
    <row r="17" spans="1:3" ht="12.75" customHeight="1">
      <c r="A17" s="2" t="s">
        <v>18</v>
      </c>
      <c r="B17" s="15">
        <f>B120</f>
        <v>195.33514346324742</v>
      </c>
      <c r="C17" s="13">
        <f>B17/B$11</f>
        <v>0.7512890133201824</v>
      </c>
    </row>
    <row r="18" spans="1:3" ht="12.75" customHeight="1">
      <c r="A18" s="2" t="s">
        <v>19</v>
      </c>
      <c r="B18" s="14">
        <f>B131</f>
        <v>191.46781563043564</v>
      </c>
      <c r="C18" s="13">
        <f>B18/B$11</f>
        <v>0.7364146755016755</v>
      </c>
    </row>
    <row r="19" ht="12.75" customHeight="1"/>
    <row r="20" ht="12.75" customHeight="1"/>
    <row r="21" s="2" customFormat="1" ht="12.75" customHeight="1" hidden="1"/>
    <row r="22" ht="12.75" customHeight="1" hidden="1">
      <c r="A22" s="3" t="s">
        <v>20</v>
      </c>
    </row>
    <row r="23" spans="1:6" ht="12.75" customHeight="1" hidden="1">
      <c r="A23" s="2" t="s">
        <v>21</v>
      </c>
      <c r="F23" s="2" t="s">
        <v>22</v>
      </c>
    </row>
    <row r="24" spans="1:10" ht="12.75" customHeight="1" hidden="1">
      <c r="A24" s="2" t="s">
        <v>23</v>
      </c>
      <c r="B24" s="2" t="s">
        <v>24</v>
      </c>
      <c r="C24" s="2" t="s">
        <v>25</v>
      </c>
      <c r="F24" s="2" t="s">
        <v>23</v>
      </c>
      <c r="G24" s="2" t="s">
        <v>26</v>
      </c>
      <c r="H24" s="2" t="s">
        <v>27</v>
      </c>
      <c r="I24" s="2" t="s">
        <v>28</v>
      </c>
      <c r="J24" s="2" t="s">
        <v>29</v>
      </c>
    </row>
    <row r="25" spans="1:10" ht="12.75" customHeight="1" hidden="1">
      <c r="A25" s="16">
        <v>2700</v>
      </c>
      <c r="B25" s="16">
        <v>17</v>
      </c>
      <c r="C25" s="16">
        <v>125.8</v>
      </c>
      <c r="F25" s="2">
        <f>A43</f>
        <v>1800</v>
      </c>
      <c r="G25" s="2">
        <f>B43</f>
        <v>18.5</v>
      </c>
      <c r="H25" s="2">
        <f>C43</f>
        <v>90</v>
      </c>
      <c r="I25" s="2">
        <f>B44</f>
        <v>25</v>
      </c>
      <c r="J25" s="2">
        <f>C44</f>
        <v>138</v>
      </c>
    </row>
    <row r="26" spans="1:10" ht="12.75" customHeight="1" hidden="1">
      <c r="A26" s="16">
        <v>2700</v>
      </c>
      <c r="B26" s="16">
        <v>28.6</v>
      </c>
      <c r="C26" s="16">
        <v>261.5</v>
      </c>
      <c r="F26" s="2">
        <f>A41</f>
        <v>1900</v>
      </c>
      <c r="G26" s="2">
        <f>B41</f>
        <v>17.85</v>
      </c>
      <c r="H26" s="2">
        <f>C41</f>
        <v>90</v>
      </c>
      <c r="I26" s="2">
        <f>B42</f>
        <v>25.75</v>
      </c>
      <c r="J26" s="2">
        <f>C42</f>
        <v>153.9</v>
      </c>
    </row>
    <row r="27" spans="1:10" ht="12.75" customHeight="1" hidden="1">
      <c r="A27" s="16">
        <v>2600</v>
      </c>
      <c r="B27" s="16">
        <v>17</v>
      </c>
      <c r="C27" s="16">
        <v>124</v>
      </c>
      <c r="F27" s="2">
        <f>A39</f>
        <v>2000</v>
      </c>
      <c r="G27" s="2">
        <f>B39</f>
        <v>17.25</v>
      </c>
      <c r="H27" s="2">
        <f>C39</f>
        <v>90</v>
      </c>
      <c r="I27" s="2">
        <f>B40</f>
        <v>26.6</v>
      </c>
      <c r="J27" s="2">
        <f>C40</f>
        <v>169</v>
      </c>
    </row>
    <row r="28" spans="1:10" ht="12.75" customHeight="1" hidden="1">
      <c r="A28" s="16">
        <v>2600</v>
      </c>
      <c r="B28" s="16">
        <v>28.7</v>
      </c>
      <c r="C28" s="16">
        <v>255.4</v>
      </c>
      <c r="F28" s="2">
        <f>A37</f>
        <v>2100</v>
      </c>
      <c r="G28" s="2">
        <f>B37</f>
        <v>17</v>
      </c>
      <c r="H28" s="2">
        <f>C37</f>
        <v>95</v>
      </c>
      <c r="I28" s="2">
        <f>B38</f>
        <v>27.65</v>
      </c>
      <c r="J28" s="2">
        <f>C38</f>
        <v>190</v>
      </c>
    </row>
    <row r="29" spans="1:10" ht="12.75" customHeight="1" hidden="1">
      <c r="A29" s="16">
        <v>2500</v>
      </c>
      <c r="B29" s="16">
        <v>17</v>
      </c>
      <c r="C29" s="16">
        <v>120.5</v>
      </c>
      <c r="F29" s="2">
        <f>A35</f>
        <v>2200</v>
      </c>
      <c r="G29" s="2">
        <f>B35</f>
        <v>17</v>
      </c>
      <c r="H29" s="2">
        <f>C35</f>
        <v>101.5</v>
      </c>
      <c r="I29" s="2">
        <f>B36</f>
        <v>29.05</v>
      </c>
      <c r="J29" s="2">
        <f>C36</f>
        <v>215</v>
      </c>
    </row>
    <row r="30" spans="1:10" ht="12.75" customHeight="1" hidden="1">
      <c r="A30" s="16">
        <v>2500</v>
      </c>
      <c r="B30" s="16">
        <v>28.85</v>
      </c>
      <c r="C30" s="16">
        <v>246</v>
      </c>
      <c r="F30" s="2">
        <f>A33</f>
        <v>2300</v>
      </c>
      <c r="G30" s="2">
        <f>B33</f>
        <v>17</v>
      </c>
      <c r="H30" s="2">
        <f>C33</f>
        <v>107.5</v>
      </c>
      <c r="I30" s="2">
        <f>B34</f>
        <v>29</v>
      </c>
      <c r="J30" s="2">
        <f>C34</f>
        <v>226.5</v>
      </c>
    </row>
    <row r="31" spans="1:10" ht="12.75" customHeight="1" hidden="1">
      <c r="A31" s="16">
        <v>2400</v>
      </c>
      <c r="B31" s="16">
        <v>17</v>
      </c>
      <c r="C31" s="16">
        <v>114</v>
      </c>
      <c r="F31" s="2">
        <f>A31</f>
        <v>2400</v>
      </c>
      <c r="G31" s="2">
        <f>B31</f>
        <v>17</v>
      </c>
      <c r="H31" s="2">
        <f>C31</f>
        <v>114</v>
      </c>
      <c r="I31" s="2">
        <f>B32</f>
        <v>28.9</v>
      </c>
      <c r="J31" s="2">
        <f>C32</f>
        <v>237.8</v>
      </c>
    </row>
    <row r="32" spans="1:10" ht="12.75" customHeight="1" hidden="1">
      <c r="A32" s="16">
        <v>2400</v>
      </c>
      <c r="B32" s="16">
        <v>28.9</v>
      </c>
      <c r="C32" s="16">
        <v>237.8</v>
      </c>
      <c r="F32" s="2">
        <f>A29</f>
        <v>2500</v>
      </c>
      <c r="G32" s="2">
        <f>B29</f>
        <v>17</v>
      </c>
      <c r="H32" s="2">
        <f>C29</f>
        <v>120.5</v>
      </c>
      <c r="I32" s="2">
        <f>B30</f>
        <v>28.85</v>
      </c>
      <c r="J32" s="2">
        <f>C30</f>
        <v>246</v>
      </c>
    </row>
    <row r="33" spans="1:10" ht="12.75" customHeight="1" hidden="1">
      <c r="A33" s="16">
        <v>2300</v>
      </c>
      <c r="B33" s="16">
        <v>17</v>
      </c>
      <c r="C33" s="16">
        <v>107.5</v>
      </c>
      <c r="F33" s="2">
        <f>A27</f>
        <v>2600</v>
      </c>
      <c r="G33" s="2">
        <f>B27</f>
        <v>17</v>
      </c>
      <c r="H33" s="2">
        <f>C27</f>
        <v>124</v>
      </c>
      <c r="I33" s="2">
        <f>B28</f>
        <v>28.7</v>
      </c>
      <c r="J33" s="2">
        <f>C28</f>
        <v>255.4</v>
      </c>
    </row>
    <row r="34" spans="1:10" ht="12.75" customHeight="1" hidden="1">
      <c r="A34" s="16">
        <v>2300</v>
      </c>
      <c r="B34" s="16">
        <v>29</v>
      </c>
      <c r="C34" s="16">
        <v>226.5</v>
      </c>
      <c r="F34" s="2">
        <f>A25</f>
        <v>2700</v>
      </c>
      <c r="G34" s="2">
        <f>B25</f>
        <v>17</v>
      </c>
      <c r="H34" s="2">
        <f>C25</f>
        <v>125.8</v>
      </c>
      <c r="I34" s="2">
        <f>B26</f>
        <v>28.6</v>
      </c>
      <c r="J34" s="2">
        <f>C26</f>
        <v>261.5</v>
      </c>
    </row>
    <row r="35" spans="1:10" ht="12.75" customHeight="1" hidden="1">
      <c r="A35" s="16">
        <v>2200</v>
      </c>
      <c r="B35" s="16">
        <v>17</v>
      </c>
      <c r="C35" s="16">
        <v>101.5</v>
      </c>
      <c r="F35" s="2">
        <f>F34</f>
        <v>2700</v>
      </c>
      <c r="G35" s="2">
        <f>G34</f>
        <v>17</v>
      </c>
      <c r="H35" s="2">
        <f>H34</f>
        <v>125.8</v>
      </c>
      <c r="I35" s="2">
        <f>I34</f>
        <v>28.6</v>
      </c>
      <c r="J35" s="2">
        <f>J34</f>
        <v>261.5</v>
      </c>
    </row>
    <row r="36" spans="1:3" ht="12.75" customHeight="1" hidden="1">
      <c r="A36" s="16">
        <v>2200</v>
      </c>
      <c r="B36" s="16">
        <v>29.05</v>
      </c>
      <c r="C36" s="16">
        <v>215</v>
      </c>
    </row>
    <row r="37" spans="1:3" ht="12.75" customHeight="1" hidden="1">
      <c r="A37" s="16">
        <v>2100</v>
      </c>
      <c r="B37" s="16">
        <v>17</v>
      </c>
      <c r="C37" s="16">
        <v>95</v>
      </c>
    </row>
    <row r="38" spans="1:3" ht="12.75" customHeight="1" hidden="1">
      <c r="A38" s="16">
        <v>2100</v>
      </c>
      <c r="B38" s="16">
        <v>27.65</v>
      </c>
      <c r="C38" s="16">
        <v>190</v>
      </c>
    </row>
    <row r="39" spans="1:3" ht="12.75" customHeight="1" hidden="1">
      <c r="A39" s="16">
        <v>2000</v>
      </c>
      <c r="B39" s="16">
        <v>17.25</v>
      </c>
      <c r="C39" s="16">
        <v>90</v>
      </c>
    </row>
    <row r="40" spans="1:3" ht="12.75" customHeight="1" hidden="1">
      <c r="A40" s="16">
        <v>2000</v>
      </c>
      <c r="B40" s="16">
        <v>26.6</v>
      </c>
      <c r="C40" s="16">
        <v>169</v>
      </c>
    </row>
    <row r="41" spans="1:3" ht="12.75" customHeight="1" hidden="1">
      <c r="A41" s="16">
        <v>1900</v>
      </c>
      <c r="B41" s="16">
        <v>17.85</v>
      </c>
      <c r="C41" s="16">
        <v>90</v>
      </c>
    </row>
    <row r="42" spans="1:3" ht="12.75" customHeight="1" hidden="1">
      <c r="A42" s="16">
        <v>1900</v>
      </c>
      <c r="B42" s="16">
        <v>25.75</v>
      </c>
      <c r="C42" s="16">
        <v>153.9</v>
      </c>
    </row>
    <row r="43" spans="1:3" ht="12.75" customHeight="1" hidden="1">
      <c r="A43" s="16">
        <v>1800</v>
      </c>
      <c r="B43" s="16">
        <v>18.5</v>
      </c>
      <c r="C43" s="16">
        <v>90</v>
      </c>
    </row>
    <row r="44" spans="1:3" ht="12.75" customHeight="1" hidden="1">
      <c r="A44" s="16">
        <v>1800</v>
      </c>
      <c r="B44" s="16">
        <v>25</v>
      </c>
      <c r="C44" s="16">
        <v>138</v>
      </c>
    </row>
    <row r="45" ht="12.75" customHeight="1" hidden="1"/>
    <row r="46" ht="12.75" customHeight="1" hidden="1"/>
    <row r="47" ht="12.75" customHeight="1" hidden="1">
      <c r="A47" s="2" t="s">
        <v>30</v>
      </c>
    </row>
    <row r="48" spans="1:18" ht="12.75" customHeight="1" hidden="1">
      <c r="A48" s="2" t="s">
        <v>31</v>
      </c>
      <c r="G48" s="2" t="s">
        <v>32</v>
      </c>
      <c r="R48" s="2" t="s">
        <v>33</v>
      </c>
    </row>
    <row r="49" spans="1:31" ht="12.75" customHeight="1" hidden="1">
      <c r="A49" s="2" t="s">
        <v>34</v>
      </c>
      <c r="B49" s="2" t="s">
        <v>35</v>
      </c>
      <c r="C49" s="2" t="s">
        <v>36</v>
      </c>
      <c r="D49" s="2" t="s">
        <v>37</v>
      </c>
      <c r="E49" s="2" t="s">
        <v>38</v>
      </c>
      <c r="F49" s="17"/>
      <c r="G49" s="18">
        <v>12</v>
      </c>
      <c r="H49" s="18">
        <v>14</v>
      </c>
      <c r="I49" s="18">
        <v>16</v>
      </c>
      <c r="J49" s="18">
        <v>18</v>
      </c>
      <c r="K49" s="18">
        <v>20</v>
      </c>
      <c r="L49" s="18">
        <v>22</v>
      </c>
      <c r="M49" s="18">
        <v>24</v>
      </c>
      <c r="N49" s="18">
        <v>26</v>
      </c>
      <c r="O49" s="18">
        <v>28</v>
      </c>
      <c r="P49" s="18">
        <v>30</v>
      </c>
      <c r="Q49" s="1" t="s">
        <v>39</v>
      </c>
      <c r="R49" s="1" t="s">
        <v>40</v>
      </c>
      <c r="U49" s="2" t="s">
        <v>23</v>
      </c>
      <c r="V49" s="2">
        <f aca="true" t="shared" si="0" ref="V49:AE49">G49</f>
        <v>12</v>
      </c>
      <c r="W49" s="2">
        <f t="shared" si="0"/>
        <v>14</v>
      </c>
      <c r="X49" s="2">
        <f t="shared" si="0"/>
        <v>16</v>
      </c>
      <c r="Y49" s="2">
        <f t="shared" si="0"/>
        <v>18</v>
      </c>
      <c r="Z49" s="2">
        <f t="shared" si="0"/>
        <v>20</v>
      </c>
      <c r="AA49" s="2">
        <f t="shared" si="0"/>
        <v>22</v>
      </c>
      <c r="AB49" s="2">
        <f t="shared" si="0"/>
        <v>24</v>
      </c>
      <c r="AC49" s="2">
        <f t="shared" si="0"/>
        <v>26</v>
      </c>
      <c r="AD49" s="2">
        <f t="shared" si="0"/>
        <v>28</v>
      </c>
      <c r="AE49" s="2">
        <f t="shared" si="0"/>
        <v>30</v>
      </c>
    </row>
    <row r="50" spans="1:31" ht="12.75" customHeight="1" hidden="1">
      <c r="A50" s="16">
        <v>1800</v>
      </c>
      <c r="B50" s="16">
        <v>170</v>
      </c>
      <c r="C50" s="16">
        <v>17000</v>
      </c>
      <c r="D50" s="18">
        <f aca="true" t="shared" si="1" ref="D50:D59">(1-C50*6.87535*10^-6)^4.2561</f>
        <v>0.5891861689998067</v>
      </c>
      <c r="E50" s="19">
        <v>90</v>
      </c>
      <c r="F50" s="18">
        <f aca="true" t="shared" si="2" ref="F50:F59">A50</f>
        <v>1800</v>
      </c>
      <c r="G50" s="16">
        <v>22200</v>
      </c>
      <c r="H50" s="16">
        <v>18850</v>
      </c>
      <c r="I50" s="16">
        <v>15650</v>
      </c>
      <c r="J50" s="16">
        <v>12750</v>
      </c>
      <c r="K50" s="16">
        <v>10100</v>
      </c>
      <c r="L50" s="20">
        <v>7700</v>
      </c>
      <c r="M50" s="16">
        <v>5400</v>
      </c>
      <c r="N50" s="16">
        <v>3250</v>
      </c>
      <c r="O50" s="16">
        <v>1210</v>
      </c>
      <c r="P50" s="16">
        <v>-871.844</v>
      </c>
      <c r="U50" s="2">
        <f aca="true" t="shared" si="3" ref="U50:U59">A50</f>
        <v>1800</v>
      </c>
      <c r="V50" s="2">
        <f aca="true" t="shared" si="4" ref="V50:V59">(1-G50*0.00000687535)^4.2561</f>
        <v>0.494157978665659</v>
      </c>
      <c r="W50" s="2">
        <f aca="true" t="shared" si="5" ref="W50:W59">(1-H50*0.00000687535)^4.2561</f>
        <v>0.5539069281306419</v>
      </c>
      <c r="X50" s="2">
        <f aca="true" t="shared" si="6" ref="X50:X59">(1-I50*0.00000687535)^4.2561</f>
        <v>0.6159963661835506</v>
      </c>
      <c r="Y50" s="2">
        <f aca="true" t="shared" si="7" ref="Y50:Y59">(1-J50*0.00000687535)^4.2561</f>
        <v>0.6767395468517634</v>
      </c>
      <c r="Z50" s="2">
        <f aca="true" t="shared" si="8" ref="Z50:Z59">(1-K50*0.00000687535)^4.2561</f>
        <v>0.7361577728501393</v>
      </c>
      <c r="AA50" s="2">
        <f aca="true" t="shared" si="9" ref="AA50:AA59">(1-L50*0.00000687535)^4.2561</f>
        <v>0.7933409506474123</v>
      </c>
      <c r="AB50" s="2">
        <f aca="true" t="shared" si="10" ref="AB50:AB59">(1-M50*0.00000687535)^4.2561</f>
        <v>0.8512718444460666</v>
      </c>
      <c r="AC50" s="2">
        <f aca="true" t="shared" si="11" ref="AC50:AC59">(1-N50*0.00000687535)^4.2561</f>
        <v>0.9082998747832444</v>
      </c>
      <c r="AD50" s="2">
        <f aca="true" t="shared" si="12" ref="AD50:AD59">(1-O50*0.00000687535)^4.2561</f>
        <v>0.9650693299117225</v>
      </c>
      <c r="AE50" s="2">
        <f aca="true" t="shared" si="13" ref="AE50:AE59">(1-P50*0.00000687535)^4.2561</f>
        <v>1.0257621478435444</v>
      </c>
    </row>
    <row r="51" spans="1:31" ht="12.75" customHeight="1" hidden="1">
      <c r="A51" s="16">
        <v>1900</v>
      </c>
      <c r="B51" s="16">
        <v>181.5</v>
      </c>
      <c r="C51" s="16">
        <v>18400</v>
      </c>
      <c r="D51" s="18">
        <f t="shared" si="1"/>
        <v>0.5623354216773625</v>
      </c>
      <c r="E51" s="19">
        <v>90</v>
      </c>
      <c r="F51" s="18">
        <f t="shared" si="2"/>
        <v>1900</v>
      </c>
      <c r="G51" s="21">
        <f aca="true" t="shared" si="14" ref="G51:P58">G$50+(G$59-G$50)*($F$50-$F51)^2/($F$50-$F$59)^2</f>
        <v>22196.913580246914</v>
      </c>
      <c r="H51" s="21">
        <f t="shared" si="14"/>
        <v>18843.20987654321</v>
      </c>
      <c r="I51" s="21">
        <f t="shared" si="14"/>
        <v>15642.592592592593</v>
      </c>
      <c r="J51" s="21">
        <f t="shared" si="14"/>
        <v>12741.975308641975</v>
      </c>
      <c r="K51" s="21">
        <f t="shared" si="14"/>
        <v>10091.358024691359</v>
      </c>
      <c r="L51" s="21">
        <f t="shared" si="14"/>
        <v>7691.358024691358</v>
      </c>
      <c r="M51" s="21">
        <f t="shared" si="14"/>
        <v>5391.358024691358</v>
      </c>
      <c r="N51" s="21">
        <f t="shared" si="14"/>
        <v>3241.358024691358</v>
      </c>
      <c r="O51" s="21">
        <f t="shared" si="14"/>
        <v>1202.1604938271605</v>
      </c>
      <c r="P51" s="21">
        <f t="shared" si="14"/>
        <v>-877.2979012345679</v>
      </c>
      <c r="U51" s="2">
        <f t="shared" si="3"/>
        <v>1900</v>
      </c>
      <c r="V51" s="2">
        <f t="shared" si="4"/>
        <v>0.49421064989784513</v>
      </c>
      <c r="W51" s="2">
        <f t="shared" si="5"/>
        <v>0.5540333843859081</v>
      </c>
      <c r="X51" s="2">
        <f t="shared" si="6"/>
        <v>0.6161460005777988</v>
      </c>
      <c r="Y51" s="2">
        <f t="shared" si="7"/>
        <v>0.6769137447496452</v>
      </c>
      <c r="Z51" s="2">
        <f t="shared" si="8"/>
        <v>0.7363578473804812</v>
      </c>
      <c r="AA51" s="2">
        <f t="shared" si="9"/>
        <v>0.793552809434953</v>
      </c>
      <c r="AB51" s="2">
        <f t="shared" si="10"/>
        <v>0.8514954396570729</v>
      </c>
      <c r="AC51" s="2">
        <f t="shared" si="11"/>
        <v>0.9085348414226198</v>
      </c>
      <c r="AD51" s="2">
        <f t="shared" si="12"/>
        <v>0.9652925947685407</v>
      </c>
      <c r="AE51" s="2">
        <f t="shared" si="13"/>
        <v>1.0259248867661872</v>
      </c>
    </row>
    <row r="52" spans="1:31" ht="12.75" customHeight="1" hidden="1">
      <c r="A52" s="16">
        <v>2000</v>
      </c>
      <c r="B52" s="16">
        <v>191.5</v>
      </c>
      <c r="C52" s="16">
        <v>19900</v>
      </c>
      <c r="D52" s="18">
        <f t="shared" si="1"/>
        <v>0.534616283864602</v>
      </c>
      <c r="E52" s="19">
        <v>90</v>
      </c>
      <c r="F52" s="18">
        <f t="shared" si="2"/>
        <v>2000</v>
      </c>
      <c r="G52" s="21">
        <f t="shared" si="14"/>
        <v>22187.654320987655</v>
      </c>
      <c r="H52" s="21">
        <f t="shared" si="14"/>
        <v>18822.83950617284</v>
      </c>
      <c r="I52" s="21">
        <f t="shared" si="14"/>
        <v>15620.37037037037</v>
      </c>
      <c r="J52" s="21">
        <f t="shared" si="14"/>
        <v>12717.901234567902</v>
      </c>
      <c r="K52" s="21">
        <f t="shared" si="14"/>
        <v>10065.432098765432</v>
      </c>
      <c r="L52" s="21">
        <f t="shared" si="14"/>
        <v>7665.432098765432</v>
      </c>
      <c r="M52" s="21">
        <f t="shared" si="14"/>
        <v>5365.432098765432</v>
      </c>
      <c r="N52" s="21">
        <f t="shared" si="14"/>
        <v>3215.432098765432</v>
      </c>
      <c r="O52" s="21">
        <f t="shared" si="14"/>
        <v>1178.641975308642</v>
      </c>
      <c r="P52" s="21">
        <f t="shared" si="14"/>
        <v>-893.6596049382716</v>
      </c>
      <c r="U52" s="2">
        <f t="shared" si="3"/>
        <v>2000</v>
      </c>
      <c r="V52" s="2">
        <f t="shared" si="4"/>
        <v>0.4943686893649597</v>
      </c>
      <c r="W52" s="2">
        <f t="shared" si="5"/>
        <v>0.554412885675158</v>
      </c>
      <c r="X52" s="2">
        <f t="shared" si="6"/>
        <v>0.6165950706136761</v>
      </c>
      <c r="Y52" s="2">
        <f t="shared" si="7"/>
        <v>0.6774365442761275</v>
      </c>
      <c r="Z52" s="2">
        <f t="shared" si="8"/>
        <v>0.7369583205825792</v>
      </c>
      <c r="AA52" s="2">
        <f t="shared" si="9"/>
        <v>0.7941886455047727</v>
      </c>
      <c r="AB52" s="2">
        <f t="shared" si="10"/>
        <v>0.8521664948823349</v>
      </c>
      <c r="AC52" s="2">
        <f t="shared" si="11"/>
        <v>0.9092400203596445</v>
      </c>
      <c r="AD52" s="2">
        <f t="shared" si="12"/>
        <v>0.9659626264388451</v>
      </c>
      <c r="AE52" s="2">
        <f t="shared" si="13"/>
        <v>1.0264132220513558</v>
      </c>
    </row>
    <row r="53" spans="1:31" ht="12.75" customHeight="1" hidden="1">
      <c r="A53" s="16">
        <v>2100</v>
      </c>
      <c r="B53" s="16">
        <v>204</v>
      </c>
      <c r="C53" s="16">
        <v>21100</v>
      </c>
      <c r="D53" s="18">
        <f t="shared" si="1"/>
        <v>0.5132038340877741</v>
      </c>
      <c r="E53" s="19">
        <v>90</v>
      </c>
      <c r="F53" s="18">
        <f t="shared" si="2"/>
        <v>2100</v>
      </c>
      <c r="G53" s="21">
        <f t="shared" si="14"/>
        <v>22172.222222222223</v>
      </c>
      <c r="H53" s="21">
        <f t="shared" si="14"/>
        <v>18788.88888888889</v>
      </c>
      <c r="I53" s="21">
        <f t="shared" si="14"/>
        <v>15583.333333333334</v>
      </c>
      <c r="J53" s="21">
        <f t="shared" si="14"/>
        <v>12677.777777777777</v>
      </c>
      <c r="K53" s="21">
        <f t="shared" si="14"/>
        <v>10022.222222222223</v>
      </c>
      <c r="L53" s="21">
        <f t="shared" si="14"/>
        <v>7622.222222222223</v>
      </c>
      <c r="M53" s="21">
        <f t="shared" si="14"/>
        <v>5322.222222222223</v>
      </c>
      <c r="N53" s="21">
        <f t="shared" si="14"/>
        <v>3172.222222222222</v>
      </c>
      <c r="O53" s="21">
        <f t="shared" si="14"/>
        <v>1139.4444444444443</v>
      </c>
      <c r="P53" s="21">
        <f t="shared" si="14"/>
        <v>-920.9291111111112</v>
      </c>
      <c r="U53" s="2">
        <f t="shared" si="3"/>
        <v>2100</v>
      </c>
      <c r="V53" s="2">
        <f t="shared" si="4"/>
        <v>0.494632174393231</v>
      </c>
      <c r="W53" s="2">
        <f t="shared" si="5"/>
        <v>0.5550458297291138</v>
      </c>
      <c r="X53" s="2">
        <f t="shared" si="6"/>
        <v>0.6173440770654126</v>
      </c>
      <c r="Y53" s="2">
        <f t="shared" si="7"/>
        <v>0.6783085632105607</v>
      </c>
      <c r="Z53" s="2">
        <f t="shared" si="8"/>
        <v>0.7379599416492363</v>
      </c>
      <c r="AA53" s="2">
        <f t="shared" si="9"/>
        <v>0.7952492383460741</v>
      </c>
      <c r="AB53" s="2">
        <f t="shared" si="10"/>
        <v>0.8532858192739189</v>
      </c>
      <c r="AC53" s="2">
        <f t="shared" si="11"/>
        <v>0.9104162490335995</v>
      </c>
      <c r="AD53" s="2">
        <f t="shared" si="12"/>
        <v>0.9670801365129333</v>
      </c>
      <c r="AE53" s="2">
        <f t="shared" si="13"/>
        <v>1.0272275093504344</v>
      </c>
    </row>
    <row r="54" spans="1:31" ht="12.75" customHeight="1" hidden="1">
      <c r="A54" s="16">
        <v>2200</v>
      </c>
      <c r="B54" s="16">
        <f>C36</f>
        <v>215</v>
      </c>
      <c r="C54" s="16">
        <v>22150</v>
      </c>
      <c r="D54" s="18">
        <f t="shared" si="1"/>
        <v>0.49501178156039266</v>
      </c>
      <c r="E54" s="19">
        <v>90</v>
      </c>
      <c r="F54" s="18">
        <f t="shared" si="2"/>
        <v>2200</v>
      </c>
      <c r="G54" s="21">
        <f t="shared" si="14"/>
        <v>22150.617283950618</v>
      </c>
      <c r="H54" s="21">
        <f t="shared" si="14"/>
        <v>18741.35802469136</v>
      </c>
      <c r="I54" s="21">
        <f t="shared" si="14"/>
        <v>15531.481481481482</v>
      </c>
      <c r="J54" s="21">
        <f t="shared" si="14"/>
        <v>12621.604938271605</v>
      </c>
      <c r="K54" s="21">
        <f t="shared" si="14"/>
        <v>9961.728395061727</v>
      </c>
      <c r="L54" s="21">
        <f t="shared" si="14"/>
        <v>7561.728395061728</v>
      </c>
      <c r="M54" s="21">
        <f t="shared" si="14"/>
        <v>5261.728395061728</v>
      </c>
      <c r="N54" s="21">
        <f t="shared" si="14"/>
        <v>3111.7283950617284</v>
      </c>
      <c r="O54" s="21">
        <f t="shared" si="14"/>
        <v>1084.567901234568</v>
      </c>
      <c r="P54" s="21">
        <f t="shared" si="14"/>
        <v>-959.1064197530865</v>
      </c>
      <c r="Q54" s="1">
        <f>B36</f>
        <v>29.05</v>
      </c>
      <c r="R54" s="22">
        <f aca="true" t="shared" si="15" ref="R54:R59">AD54+(AE54-AD54)*(Q54-AD$49)/(AE$49-AD$49)</f>
        <v>1.000000377591145</v>
      </c>
      <c r="U54" s="2">
        <f t="shared" si="3"/>
        <v>2200</v>
      </c>
      <c r="V54" s="2">
        <f t="shared" si="4"/>
        <v>0.4950012339082455</v>
      </c>
      <c r="W54" s="2">
        <f t="shared" si="5"/>
        <v>0.5559328799670257</v>
      </c>
      <c r="X54" s="2">
        <f t="shared" si="6"/>
        <v>0.6183938552730663</v>
      </c>
      <c r="Y54" s="2">
        <f t="shared" si="7"/>
        <v>0.6795308321216205</v>
      </c>
      <c r="Z54" s="2">
        <f t="shared" si="8"/>
        <v>0.7393639604341515</v>
      </c>
      <c r="AA54" s="2">
        <f t="shared" si="9"/>
        <v>0.7967358883333095</v>
      </c>
      <c r="AB54" s="2">
        <f t="shared" si="10"/>
        <v>0.8548547626701342</v>
      </c>
      <c r="AC54" s="2">
        <f t="shared" si="11"/>
        <v>0.9120649244523218</v>
      </c>
      <c r="AD54" s="2">
        <f t="shared" si="12"/>
        <v>0.9686463119440712</v>
      </c>
      <c r="AE54" s="2">
        <f t="shared" si="13"/>
        <v>1.0283683417480214</v>
      </c>
    </row>
    <row r="55" spans="1:31" ht="12.75" customHeight="1" hidden="1">
      <c r="A55" s="16">
        <v>2300</v>
      </c>
      <c r="B55" s="16">
        <f>C34</f>
        <v>226.5</v>
      </c>
      <c r="C55" s="16">
        <v>23300</v>
      </c>
      <c r="D55" s="18">
        <f t="shared" si="1"/>
        <v>0.4756576489287146</v>
      </c>
      <c r="E55" s="16">
        <v>90</v>
      </c>
      <c r="F55" s="18">
        <f t="shared" si="2"/>
        <v>2300</v>
      </c>
      <c r="G55" s="21">
        <f t="shared" si="14"/>
        <v>22122.83950617284</v>
      </c>
      <c r="H55" s="21">
        <f t="shared" si="14"/>
        <v>18680.246913580246</v>
      </c>
      <c r="I55" s="21">
        <f t="shared" si="14"/>
        <v>15464.814814814816</v>
      </c>
      <c r="J55" s="21">
        <f t="shared" si="14"/>
        <v>12549.382716049382</v>
      </c>
      <c r="K55" s="21">
        <f t="shared" si="14"/>
        <v>9883.95061728395</v>
      </c>
      <c r="L55" s="21">
        <f t="shared" si="14"/>
        <v>7483.950617283951</v>
      </c>
      <c r="M55" s="21">
        <f t="shared" si="14"/>
        <v>5183.950617283951</v>
      </c>
      <c r="N55" s="21">
        <f t="shared" si="14"/>
        <v>3033.9506172839506</v>
      </c>
      <c r="O55" s="21">
        <f t="shared" si="14"/>
        <v>1014.0123456790124</v>
      </c>
      <c r="P55" s="21">
        <f t="shared" si="14"/>
        <v>-1008.1915308641975</v>
      </c>
      <c r="Q55" s="1">
        <f>B34</f>
        <v>29</v>
      </c>
      <c r="R55" s="22">
        <f t="shared" si="15"/>
        <v>1.0002496833821106</v>
      </c>
      <c r="U55" s="2">
        <f t="shared" si="3"/>
        <v>2300</v>
      </c>
      <c r="V55" s="2">
        <f t="shared" si="4"/>
        <v>0.49547604850778293</v>
      </c>
      <c r="W55" s="2">
        <f t="shared" si="5"/>
        <v>0.5570749662992724</v>
      </c>
      <c r="X55" s="2">
        <f t="shared" si="6"/>
        <v>0.6197455762177868</v>
      </c>
      <c r="Y55" s="2">
        <f t="shared" si="7"/>
        <v>0.681104795772995</v>
      </c>
      <c r="Z55" s="2">
        <f t="shared" si="8"/>
        <v>0.741172129251871</v>
      </c>
      <c r="AA55" s="2">
        <f t="shared" si="9"/>
        <v>0.798650418566269</v>
      </c>
      <c r="AB55" s="2">
        <f t="shared" si="10"/>
        <v>0.856875217474253</v>
      </c>
      <c r="AC55" s="2">
        <f t="shared" si="11"/>
        <v>0.9141880051071851</v>
      </c>
      <c r="AD55" s="2">
        <f t="shared" si="12"/>
        <v>0.9706628165036215</v>
      </c>
      <c r="AE55" s="2">
        <f t="shared" si="13"/>
        <v>1.0298365502606</v>
      </c>
    </row>
    <row r="56" spans="1:31" ht="12.75" customHeight="1" hidden="1">
      <c r="A56" s="16">
        <v>2400</v>
      </c>
      <c r="B56" s="16">
        <f>C32</f>
        <v>237.8</v>
      </c>
      <c r="C56" s="16">
        <v>24000</v>
      </c>
      <c r="D56" s="18">
        <f t="shared" si="1"/>
        <v>0.4641637429081487</v>
      </c>
      <c r="E56" s="16">
        <v>91.5</v>
      </c>
      <c r="F56" s="18">
        <f t="shared" si="2"/>
        <v>2400</v>
      </c>
      <c r="G56" s="21">
        <f t="shared" si="14"/>
        <v>22088.88888888889</v>
      </c>
      <c r="H56" s="21">
        <f t="shared" si="14"/>
        <v>18605.555555555555</v>
      </c>
      <c r="I56" s="21">
        <f t="shared" si="14"/>
        <v>15383.333333333334</v>
      </c>
      <c r="J56" s="21">
        <f t="shared" si="14"/>
        <v>12461.111111111111</v>
      </c>
      <c r="K56" s="21">
        <f t="shared" si="14"/>
        <v>9788.888888888889</v>
      </c>
      <c r="L56" s="21">
        <f t="shared" si="14"/>
        <v>7388.888888888889</v>
      </c>
      <c r="M56" s="21">
        <f t="shared" si="14"/>
        <v>5088.888888888889</v>
      </c>
      <c r="N56" s="21">
        <f t="shared" si="14"/>
        <v>2938.8888888888887</v>
      </c>
      <c r="O56" s="21">
        <f t="shared" si="14"/>
        <v>927.7777777777778</v>
      </c>
      <c r="P56" s="21">
        <f t="shared" si="14"/>
        <v>-1068.1844444444444</v>
      </c>
      <c r="Q56" s="1">
        <f>B32</f>
        <v>28.9</v>
      </c>
      <c r="R56" s="22">
        <f t="shared" si="15"/>
        <v>0.9994574280918984</v>
      </c>
      <c r="U56" s="2">
        <f t="shared" si="3"/>
        <v>2400</v>
      </c>
      <c r="V56" s="2">
        <f t="shared" si="4"/>
        <v>0.49605685056382526</v>
      </c>
      <c r="W56" s="2">
        <f t="shared" si="5"/>
        <v>0.5584732862520598</v>
      </c>
      <c r="X56" s="2">
        <f t="shared" si="6"/>
        <v>0.6214007480286932</v>
      </c>
      <c r="Y56" s="2">
        <f t="shared" si="7"/>
        <v>0.6830323150934325</v>
      </c>
      <c r="Z56" s="2">
        <f t="shared" si="8"/>
        <v>0.7433867054005496</v>
      </c>
      <c r="AA56" s="2">
        <f t="shared" si="9"/>
        <v>0.800995177449045</v>
      </c>
      <c r="AB56" s="2">
        <f t="shared" si="10"/>
        <v>0.8593496212875747</v>
      </c>
      <c r="AC56" s="2">
        <f t="shared" si="11"/>
        <v>0.9167880136569384</v>
      </c>
      <c r="AD56" s="2">
        <f t="shared" si="12"/>
        <v>0.973131792820165</v>
      </c>
      <c r="AE56" s="2">
        <f t="shared" si="13"/>
        <v>1.0316332045351282</v>
      </c>
    </row>
    <row r="57" spans="1:31" ht="12.75" customHeight="1" hidden="1">
      <c r="A57" s="16">
        <v>2500</v>
      </c>
      <c r="B57" s="16">
        <f>C30</f>
        <v>246</v>
      </c>
      <c r="C57" s="16">
        <v>24000</v>
      </c>
      <c r="D57" s="18">
        <f t="shared" si="1"/>
        <v>0.4641637429081487</v>
      </c>
      <c r="E57" s="16">
        <v>94.2</v>
      </c>
      <c r="F57" s="18">
        <f t="shared" si="2"/>
        <v>2500</v>
      </c>
      <c r="G57" s="21">
        <f t="shared" si="14"/>
        <v>22048.765432098764</v>
      </c>
      <c r="H57" s="21">
        <f t="shared" si="14"/>
        <v>18517.283950617282</v>
      </c>
      <c r="I57" s="21">
        <f t="shared" si="14"/>
        <v>15287.037037037036</v>
      </c>
      <c r="J57" s="21">
        <f t="shared" si="14"/>
        <v>12356.79012345679</v>
      </c>
      <c r="K57" s="21">
        <f t="shared" si="14"/>
        <v>9676.543209876543</v>
      </c>
      <c r="L57" s="21">
        <f t="shared" si="14"/>
        <v>7276.543209876543</v>
      </c>
      <c r="M57" s="21">
        <f t="shared" si="14"/>
        <v>4976.543209876543</v>
      </c>
      <c r="N57" s="21">
        <f t="shared" si="14"/>
        <v>2826.543209876543</v>
      </c>
      <c r="O57" s="21">
        <f t="shared" si="14"/>
        <v>825.8641975308642</v>
      </c>
      <c r="P57" s="21">
        <f t="shared" si="14"/>
        <v>-1139.085160493827</v>
      </c>
      <c r="Q57" s="1">
        <f>B30</f>
        <v>28.85</v>
      </c>
      <c r="R57" s="22">
        <f t="shared" si="15"/>
        <v>1.0005799582205348</v>
      </c>
      <c r="U57" s="2">
        <f t="shared" si="3"/>
        <v>2500</v>
      </c>
      <c r="V57" s="2">
        <f t="shared" si="4"/>
        <v>0.4967439243537933</v>
      </c>
      <c r="W57" s="2">
        <f t="shared" si="5"/>
        <v>0.5601293064152764</v>
      </c>
      <c r="X57" s="2">
        <f t="shared" si="6"/>
        <v>0.6233612179228787</v>
      </c>
      <c r="Y57" s="2">
        <f t="shared" si="7"/>
        <v>0.6853156697132503</v>
      </c>
      <c r="Z57" s="2">
        <f t="shared" si="8"/>
        <v>0.7460104544103444</v>
      </c>
      <c r="AA57" s="2">
        <f t="shared" si="9"/>
        <v>0.8037730420107119</v>
      </c>
      <c r="AB57" s="2">
        <f t="shared" si="10"/>
        <v>0.8622809602996784</v>
      </c>
      <c r="AC57" s="2">
        <f t="shared" si="11"/>
        <v>0.9198680403832622</v>
      </c>
      <c r="AD57" s="2">
        <f t="shared" si="12"/>
        <v>0.9760558650045712</v>
      </c>
      <c r="AE57" s="2">
        <f t="shared" si="13"/>
        <v>1.033759613748015</v>
      </c>
    </row>
    <row r="58" spans="1:31" ht="12.75" customHeight="1" hidden="1">
      <c r="A58" s="16">
        <v>2600</v>
      </c>
      <c r="B58" s="16">
        <f>C28</f>
        <v>255.4</v>
      </c>
      <c r="C58" s="16">
        <v>24000</v>
      </c>
      <c r="D58" s="18">
        <f t="shared" si="1"/>
        <v>0.4641637429081487</v>
      </c>
      <c r="E58" s="16">
        <v>98</v>
      </c>
      <c r="F58" s="18">
        <f t="shared" si="2"/>
        <v>2600</v>
      </c>
      <c r="G58" s="21">
        <f t="shared" si="14"/>
        <v>22002.46913580247</v>
      </c>
      <c r="H58" s="21">
        <f t="shared" si="14"/>
        <v>18415.432098765432</v>
      </c>
      <c r="I58" s="21">
        <f t="shared" si="14"/>
        <v>15175.925925925925</v>
      </c>
      <c r="J58" s="21">
        <f t="shared" si="14"/>
        <v>12236.41975308642</v>
      </c>
      <c r="K58" s="21">
        <f t="shared" si="14"/>
        <v>9546.913580246914</v>
      </c>
      <c r="L58" s="21">
        <f t="shared" si="14"/>
        <v>7146.913580246914</v>
      </c>
      <c r="M58" s="21">
        <f t="shared" si="14"/>
        <v>4846.913580246914</v>
      </c>
      <c r="N58" s="21">
        <f t="shared" si="14"/>
        <v>2696.9135802469136</v>
      </c>
      <c r="O58" s="21">
        <f t="shared" si="14"/>
        <v>708.2716049382716</v>
      </c>
      <c r="P58" s="21">
        <f t="shared" si="14"/>
        <v>-1220.8936790123455</v>
      </c>
      <c r="Q58" s="1">
        <f>B28</f>
        <v>28.7</v>
      </c>
      <c r="R58" s="22">
        <f t="shared" si="15"/>
        <v>0.9993108569080512</v>
      </c>
      <c r="U58" s="2">
        <f t="shared" si="3"/>
        <v>2600</v>
      </c>
      <c r="V58" s="2">
        <f t="shared" si="4"/>
        <v>0.49753760622105786</v>
      </c>
      <c r="W58" s="2">
        <f t="shared" si="5"/>
        <v>0.5620447642148722</v>
      </c>
      <c r="X58" s="2">
        <f t="shared" si="6"/>
        <v>0.6256291745804817</v>
      </c>
      <c r="Y58" s="2">
        <f t="shared" si="7"/>
        <v>0.6879575610699837</v>
      </c>
      <c r="Z58" s="2">
        <f t="shared" si="8"/>
        <v>0.7490466540210825</v>
      </c>
      <c r="AA58" s="2">
        <f t="shared" si="9"/>
        <v>0.8069874219713734</v>
      </c>
      <c r="AB58" s="2">
        <f t="shared" si="10"/>
        <v>0.8656727734395393</v>
      </c>
      <c r="AC58" s="2">
        <f t="shared" si="11"/>
        <v>0.9234317474217253</v>
      </c>
      <c r="AD58" s="2">
        <f t="shared" si="12"/>
        <v>0.9794381418635072</v>
      </c>
      <c r="AE58" s="2">
        <f t="shared" si="13"/>
        <v>1.0362173277050617</v>
      </c>
    </row>
    <row r="59" spans="1:31" ht="12.75" customHeight="1" hidden="1">
      <c r="A59" s="16">
        <v>2700</v>
      </c>
      <c r="B59" s="16">
        <f>C26</f>
        <v>261.5</v>
      </c>
      <c r="C59" s="16">
        <v>24000</v>
      </c>
      <c r="D59" s="18">
        <f t="shared" si="1"/>
        <v>0.4641637429081487</v>
      </c>
      <c r="E59" s="16">
        <v>101</v>
      </c>
      <c r="F59" s="18">
        <f t="shared" si="2"/>
        <v>2700</v>
      </c>
      <c r="G59" s="16">
        <v>21950</v>
      </c>
      <c r="H59" s="16">
        <v>18300</v>
      </c>
      <c r="I59" s="16">
        <v>15050</v>
      </c>
      <c r="J59" s="16">
        <v>12100</v>
      </c>
      <c r="K59" s="16">
        <v>9400</v>
      </c>
      <c r="L59" s="20">
        <v>7000</v>
      </c>
      <c r="M59" s="16">
        <v>4700</v>
      </c>
      <c r="N59" s="16">
        <v>2550</v>
      </c>
      <c r="O59" s="16">
        <v>575</v>
      </c>
      <c r="P59" s="16">
        <v>-1313.61</v>
      </c>
      <c r="Q59" s="1">
        <f>B26</f>
        <v>28.6</v>
      </c>
      <c r="R59" s="22">
        <f t="shared" si="15"/>
        <v>0.9999999959360466</v>
      </c>
      <c r="U59" s="2">
        <f t="shared" si="3"/>
        <v>2700</v>
      </c>
      <c r="V59" s="2">
        <f t="shared" si="4"/>
        <v>0.4984382847648102</v>
      </c>
      <c r="W59" s="2">
        <f t="shared" si="5"/>
        <v>0.564221670011419</v>
      </c>
      <c r="X59" s="2">
        <f t="shared" si="6"/>
        <v>0.6282071509571965</v>
      </c>
      <c r="Y59" s="2">
        <f t="shared" si="7"/>
        <v>0.6909611160864759</v>
      </c>
      <c r="Z59" s="2">
        <f t="shared" si="8"/>
        <v>0.7524990988936466</v>
      </c>
      <c r="AA59" s="2">
        <f t="shared" si="9"/>
        <v>0.8106422645580443</v>
      </c>
      <c r="AB59" s="2">
        <f t="shared" si="10"/>
        <v>0.8695291572919888</v>
      </c>
      <c r="AC59" s="2">
        <f t="shared" si="11"/>
        <v>0.927483373772647</v>
      </c>
      <c r="AD59" s="2">
        <f t="shared" si="12"/>
        <v>0.9832822207044536</v>
      </c>
      <c r="AE59" s="2">
        <f t="shared" si="13"/>
        <v>1.039008138143097</v>
      </c>
    </row>
    <row r="60" ht="12.75" customHeight="1" hidden="1"/>
    <row r="61" ht="12.75" customHeight="1" hidden="1"/>
    <row r="62" ht="12.75" customHeight="1" hidden="1"/>
    <row r="63" ht="12.75" customHeight="1" hidden="1"/>
    <row r="64" ht="12.75" customHeight="1" hidden="1"/>
    <row r="65" ht="12.75" customHeight="1" hidden="1"/>
    <row r="66" spans="21:31" ht="12.75" customHeight="1" hidden="1">
      <c r="U66" s="2">
        <f>A66</f>
        <v>0</v>
      </c>
      <c r="V66" s="2">
        <f aca="true" t="shared" si="16" ref="V66:AE70">(1-G66*6.87535*10^-6)^4.2561</f>
        <v>1</v>
      </c>
      <c r="W66" s="2">
        <f t="shared" si="16"/>
        <v>1</v>
      </c>
      <c r="X66" s="2">
        <f t="shared" si="16"/>
        <v>1</v>
      </c>
      <c r="Y66" s="2">
        <f t="shared" si="16"/>
        <v>1</v>
      </c>
      <c r="Z66" s="2">
        <f t="shared" si="16"/>
        <v>1</v>
      </c>
      <c r="AA66" s="2">
        <f t="shared" si="16"/>
        <v>1</v>
      </c>
      <c r="AB66" s="2">
        <f t="shared" si="16"/>
        <v>1</v>
      </c>
      <c r="AC66" s="2">
        <f t="shared" si="16"/>
        <v>1</v>
      </c>
      <c r="AD66" s="2">
        <f t="shared" si="16"/>
        <v>1</v>
      </c>
      <c r="AE66" s="2">
        <f t="shared" si="16"/>
        <v>1</v>
      </c>
    </row>
    <row r="67" spans="21:31" ht="12.75" customHeight="1" hidden="1">
      <c r="U67" s="2">
        <f>A67</f>
        <v>0</v>
      </c>
      <c r="V67" s="2">
        <f t="shared" si="16"/>
        <v>1</v>
      </c>
      <c r="W67" s="2">
        <f t="shared" si="16"/>
        <v>1</v>
      </c>
      <c r="X67" s="2">
        <f t="shared" si="16"/>
        <v>1</v>
      </c>
      <c r="Y67" s="2">
        <f t="shared" si="16"/>
        <v>1</v>
      </c>
      <c r="Z67" s="2">
        <f t="shared" si="16"/>
        <v>1</v>
      </c>
      <c r="AA67" s="2">
        <f t="shared" si="16"/>
        <v>1</v>
      </c>
      <c r="AB67" s="2">
        <f t="shared" si="16"/>
        <v>1</v>
      </c>
      <c r="AC67" s="2">
        <f t="shared" si="16"/>
        <v>1</v>
      </c>
      <c r="AD67" s="2">
        <f t="shared" si="16"/>
        <v>1</v>
      </c>
      <c r="AE67" s="2">
        <f t="shared" si="16"/>
        <v>1</v>
      </c>
    </row>
    <row r="68" spans="21:31" ht="12.75" customHeight="1" hidden="1">
      <c r="U68" s="2">
        <f>A68</f>
        <v>0</v>
      </c>
      <c r="V68" s="2">
        <f t="shared" si="16"/>
        <v>1</v>
      </c>
      <c r="W68" s="2">
        <f t="shared" si="16"/>
        <v>1</v>
      </c>
      <c r="X68" s="2">
        <f t="shared" si="16"/>
        <v>1</v>
      </c>
      <c r="Y68" s="2">
        <f t="shared" si="16"/>
        <v>1</v>
      </c>
      <c r="Z68" s="2">
        <f t="shared" si="16"/>
        <v>1</v>
      </c>
      <c r="AA68" s="2">
        <f t="shared" si="16"/>
        <v>1</v>
      </c>
      <c r="AB68" s="2">
        <f t="shared" si="16"/>
        <v>1</v>
      </c>
      <c r="AC68" s="2">
        <f t="shared" si="16"/>
        <v>1</v>
      </c>
      <c r="AD68" s="2">
        <f t="shared" si="16"/>
        <v>1</v>
      </c>
      <c r="AE68" s="2">
        <f t="shared" si="16"/>
        <v>1</v>
      </c>
    </row>
    <row r="69" spans="21:31" ht="12.75" customHeight="1" hidden="1">
      <c r="U69" s="2">
        <f>A69</f>
        <v>0</v>
      </c>
      <c r="V69" s="2">
        <f t="shared" si="16"/>
        <v>1</v>
      </c>
      <c r="W69" s="2">
        <f t="shared" si="16"/>
        <v>1</v>
      </c>
      <c r="X69" s="2">
        <f t="shared" si="16"/>
        <v>1</v>
      </c>
      <c r="Y69" s="2">
        <f t="shared" si="16"/>
        <v>1</v>
      </c>
      <c r="Z69" s="2">
        <f t="shared" si="16"/>
        <v>1</v>
      </c>
      <c r="AA69" s="2">
        <f t="shared" si="16"/>
        <v>1</v>
      </c>
      <c r="AB69" s="2">
        <f t="shared" si="16"/>
        <v>1</v>
      </c>
      <c r="AC69" s="2">
        <f t="shared" si="16"/>
        <v>1</v>
      </c>
      <c r="AD69" s="2">
        <f t="shared" si="16"/>
        <v>1</v>
      </c>
      <c r="AE69" s="2">
        <f t="shared" si="16"/>
        <v>1</v>
      </c>
    </row>
    <row r="70" spans="21:31" ht="12.75" customHeight="1" hidden="1">
      <c r="U70" s="2">
        <f>A70</f>
        <v>0</v>
      </c>
      <c r="V70" s="2">
        <f t="shared" si="16"/>
        <v>1</v>
      </c>
      <c r="W70" s="2">
        <f t="shared" si="16"/>
        <v>1</v>
      </c>
      <c r="X70" s="2">
        <f t="shared" si="16"/>
        <v>1</v>
      </c>
      <c r="Y70" s="2">
        <f t="shared" si="16"/>
        <v>1</v>
      </c>
      <c r="Z70" s="2">
        <f t="shared" si="16"/>
        <v>1</v>
      </c>
      <c r="AA70" s="2">
        <f t="shared" si="16"/>
        <v>1</v>
      </c>
      <c r="AB70" s="2">
        <f t="shared" si="16"/>
        <v>1</v>
      </c>
      <c r="AC70" s="2">
        <f t="shared" si="16"/>
        <v>1</v>
      </c>
      <c r="AD70" s="2">
        <f t="shared" si="16"/>
        <v>1</v>
      </c>
      <c r="AE70" s="2">
        <f t="shared" si="16"/>
        <v>1</v>
      </c>
    </row>
    <row r="71" ht="12.75" customHeight="1" hidden="1">
      <c r="F71" s="1" t="s">
        <v>41</v>
      </c>
    </row>
    <row r="72" spans="6:31" ht="12.75" customHeight="1" hidden="1">
      <c r="F72" s="2" t="s">
        <v>42</v>
      </c>
      <c r="G72" s="2">
        <f aca="true" t="shared" si="17" ref="G72:P72">G49</f>
        <v>12</v>
      </c>
      <c r="H72" s="2">
        <f t="shared" si="17"/>
        <v>14</v>
      </c>
      <c r="I72" s="2">
        <f t="shared" si="17"/>
        <v>16</v>
      </c>
      <c r="J72" s="2">
        <f t="shared" si="17"/>
        <v>18</v>
      </c>
      <c r="K72" s="2">
        <f t="shared" si="17"/>
        <v>20</v>
      </c>
      <c r="L72" s="2">
        <f t="shared" si="17"/>
        <v>22</v>
      </c>
      <c r="M72" s="2">
        <f t="shared" si="17"/>
        <v>24</v>
      </c>
      <c r="N72" s="2">
        <f t="shared" si="17"/>
        <v>26</v>
      </c>
      <c r="O72" s="2">
        <f t="shared" si="17"/>
        <v>28</v>
      </c>
      <c r="P72" s="2">
        <f t="shared" si="17"/>
        <v>30</v>
      </c>
      <c r="V72" s="2">
        <f aca="true" t="shared" si="18" ref="V72:AE72">V49</f>
        <v>12</v>
      </c>
      <c r="W72" s="2">
        <f t="shared" si="18"/>
        <v>14</v>
      </c>
      <c r="X72" s="2">
        <f t="shared" si="18"/>
        <v>16</v>
      </c>
      <c r="Y72" s="2">
        <f t="shared" si="18"/>
        <v>18</v>
      </c>
      <c r="Z72" s="2">
        <f t="shared" si="18"/>
        <v>20</v>
      </c>
      <c r="AA72" s="2">
        <f t="shared" si="18"/>
        <v>22</v>
      </c>
      <c r="AB72" s="2">
        <f t="shared" si="18"/>
        <v>24</v>
      </c>
      <c r="AC72" s="2">
        <f t="shared" si="18"/>
        <v>26</v>
      </c>
      <c r="AD72" s="2">
        <f t="shared" si="18"/>
        <v>28</v>
      </c>
      <c r="AE72" s="2">
        <f t="shared" si="18"/>
        <v>30</v>
      </c>
    </row>
    <row r="73" spans="6:31" ht="12.75" customHeight="1" hidden="1">
      <c r="F73" s="2">
        <f aca="true" t="shared" si="19" ref="F73:F82">F50</f>
        <v>1800</v>
      </c>
      <c r="G73" s="23">
        <f aca="true" t="shared" si="20" ref="G73:P73">((29.9213*(1-G50*0.00000687535)^5.2561)-G$49)/G$49/$F73*10^5</f>
        <v>2.449277861042806</v>
      </c>
      <c r="H73" s="23">
        <f t="shared" si="20"/>
        <v>1.6891629268400954</v>
      </c>
      <c r="I73" s="23">
        <f t="shared" si="20"/>
        <v>1.5562721210472281</v>
      </c>
      <c r="J73" s="23">
        <f t="shared" si="20"/>
        <v>1.4626285023249692</v>
      </c>
      <c r="K73" s="23">
        <f t="shared" si="20"/>
        <v>1.3812054107479002</v>
      </c>
      <c r="L73" s="23">
        <f t="shared" si="20"/>
        <v>1.2149222681866634</v>
      </c>
      <c r="M73" s="23">
        <f t="shared" si="20"/>
        <v>1.2164242473380655</v>
      </c>
      <c r="N73" s="23">
        <f t="shared" si="20"/>
        <v>1.2184499398897604</v>
      </c>
      <c r="O73" s="23">
        <f t="shared" si="20"/>
        <v>1.2617131238459205</v>
      </c>
      <c r="P73" s="23">
        <f t="shared" si="20"/>
        <v>1.6224310436285676</v>
      </c>
      <c r="U73" s="2" t="s">
        <v>43</v>
      </c>
      <c r="V73" s="2">
        <f aca="true" t="shared" si="21" ref="V73:AE73">AVERAGE(V55:V59)</f>
        <v>0.4968505428822539</v>
      </c>
      <c r="W73" s="2">
        <f t="shared" si="21"/>
        <v>0.56038879863858</v>
      </c>
      <c r="X73" s="2">
        <f t="shared" si="21"/>
        <v>0.6236687735414074</v>
      </c>
      <c r="Y73" s="2">
        <f t="shared" si="21"/>
        <v>0.6856742915472276</v>
      </c>
      <c r="Z73" s="2">
        <f t="shared" si="21"/>
        <v>0.7464230083954989</v>
      </c>
      <c r="AA73" s="2">
        <f t="shared" si="21"/>
        <v>0.8042096649110887</v>
      </c>
      <c r="AB73" s="2">
        <f t="shared" si="21"/>
        <v>0.8627415459586067</v>
      </c>
      <c r="AC73" s="2">
        <f t="shared" si="21"/>
        <v>0.9203518360683516</v>
      </c>
      <c r="AD73" s="2">
        <f t="shared" si="21"/>
        <v>0.9765141673792638</v>
      </c>
      <c r="AE73" s="2">
        <f t="shared" si="21"/>
        <v>1.0340909668783804</v>
      </c>
    </row>
    <row r="74" spans="6:22" ht="12.75" customHeight="1" hidden="1">
      <c r="F74" s="2">
        <f t="shared" si="19"/>
        <v>1900</v>
      </c>
      <c r="G74" s="23">
        <f aca="true" t="shared" si="22" ref="G74:P74">((29.9213*(1-G51*0.00000687535)^5.2561)-G$49)/G$49/$F74*10^5</f>
        <v>2.327601991649024</v>
      </c>
      <c r="H74" s="23">
        <f t="shared" si="22"/>
        <v>1.61555010094491</v>
      </c>
      <c r="I74" s="23">
        <f t="shared" si="22"/>
        <v>1.4905947031226099</v>
      </c>
      <c r="J74" s="23">
        <f t="shared" si="22"/>
        <v>1.4028199633928702</v>
      </c>
      <c r="K74" s="23">
        <f t="shared" si="22"/>
        <v>1.3266153765140842</v>
      </c>
      <c r="L74" s="23">
        <f t="shared" si="22"/>
        <v>1.1687165348189208</v>
      </c>
      <c r="M74" s="23">
        <f t="shared" si="22"/>
        <v>1.1698485813389037</v>
      </c>
      <c r="N74" s="23">
        <f t="shared" si="22"/>
        <v>1.171504446487633</v>
      </c>
      <c r="O74" s="23">
        <f t="shared" si="22"/>
        <v>1.210686049989887</v>
      </c>
      <c r="P74" s="23">
        <f t="shared" si="22"/>
        <v>1.5476532844539428</v>
      </c>
      <c r="T74" s="2" t="s">
        <v>44</v>
      </c>
      <c r="U74" s="2" t="e">
        <f>NA()</f>
        <v>#N/A</v>
      </c>
      <c r="V74" s="2" t="e">
        <f>U74*V72+U75</f>
        <v>#N/A</v>
      </c>
    </row>
    <row r="75" spans="6:21" ht="12.75" customHeight="1" hidden="1">
      <c r="F75" s="2">
        <f t="shared" si="19"/>
        <v>2000</v>
      </c>
      <c r="G75" s="23">
        <f aca="true" t="shared" si="23" ref="G75:P75">((29.9213*(1-G52*0.00000687535)^5.2561)-G$49)/G$49/$F75*10^5</f>
        <v>2.2318417383475246</v>
      </c>
      <c r="H75" s="23">
        <f t="shared" si="23"/>
        <v>1.5783703804582363</v>
      </c>
      <c r="I75" s="23">
        <f t="shared" si="23"/>
        <v>1.4623476217086928</v>
      </c>
      <c r="J75" s="23">
        <f t="shared" si="23"/>
        <v>1.3816441021850028</v>
      </c>
      <c r="K75" s="23">
        <f t="shared" si="23"/>
        <v>1.3119118722151943</v>
      </c>
      <c r="L75" s="23">
        <f t="shared" si="23"/>
        <v>1.1608597104899345</v>
      </c>
      <c r="M75" s="23">
        <f t="shared" si="23"/>
        <v>1.161105264465904</v>
      </c>
      <c r="N75" s="23">
        <f t="shared" si="23"/>
        <v>1.1619273989316992</v>
      </c>
      <c r="O75" s="23">
        <f t="shared" si="23"/>
        <v>1.1940018371140924</v>
      </c>
      <c r="P75" s="23">
        <f t="shared" si="23"/>
        <v>1.500528261533335</v>
      </c>
      <c r="T75" s="2" t="s">
        <v>45</v>
      </c>
      <c r="U75" s="2" t="e">
        <f>NA()</f>
        <v>#N/A</v>
      </c>
    </row>
    <row r="76" spans="6:16" ht="12.75" customHeight="1" hidden="1">
      <c r="F76" s="2">
        <f t="shared" si="19"/>
        <v>2100</v>
      </c>
      <c r="G76" s="23">
        <f aca="true" t="shared" si="24" ref="G76:P76">((29.9213*(1-G53*0.00000687535)^5.2561)-G$49)/G$49/$F76*10^5</f>
        <v>2.158307430529202</v>
      </c>
      <c r="H76" s="23">
        <f t="shared" si="24"/>
        <v>1.5724759243835256</v>
      </c>
      <c r="I76" s="23">
        <f t="shared" si="24"/>
        <v>1.4662479447163341</v>
      </c>
      <c r="J76" s="23">
        <f t="shared" si="24"/>
        <v>1.3936540050572563</v>
      </c>
      <c r="K76" s="23">
        <f t="shared" si="24"/>
        <v>1.33147702192717</v>
      </c>
      <c r="L76" s="23">
        <f t="shared" si="24"/>
        <v>1.1859505815418092</v>
      </c>
      <c r="M76" s="23">
        <f t="shared" si="24"/>
        <v>1.184864363099825</v>
      </c>
      <c r="N76" s="23">
        <f t="shared" si="24"/>
        <v>1.1844528955252305</v>
      </c>
      <c r="O76" s="23">
        <f t="shared" si="24"/>
        <v>1.206812343656934</v>
      </c>
      <c r="P76" s="23">
        <f t="shared" si="24"/>
        <v>1.4771330190843934</v>
      </c>
    </row>
    <row r="77" spans="6:16" ht="12.75" customHeight="1" hidden="1">
      <c r="F77" s="2">
        <f t="shared" si="19"/>
        <v>2200</v>
      </c>
      <c r="G77" s="23">
        <f aca="true" t="shared" si="25" ref="G77:P77">((29.9213*(1-G54*0.00000687535)^5.2561)-G$49)/G$49/$F77*10^5</f>
        <v>2.103988250542739</v>
      </c>
      <c r="H77" s="23">
        <f t="shared" si="25"/>
        <v>1.5936911698692735</v>
      </c>
      <c r="I77" s="23">
        <f t="shared" si="25"/>
        <v>1.4980142918056172</v>
      </c>
      <c r="J77" s="23">
        <f t="shared" si="25"/>
        <v>1.4344391005990509</v>
      </c>
      <c r="K77" s="23">
        <f t="shared" si="25"/>
        <v>1.3807655947922306</v>
      </c>
      <c r="L77" s="23">
        <f t="shared" si="25"/>
        <v>1.2396192689360657</v>
      </c>
      <c r="M77" s="23">
        <f t="shared" si="25"/>
        <v>1.2368127101606925</v>
      </c>
      <c r="N77" s="23">
        <f t="shared" si="25"/>
        <v>1.234818726396167</v>
      </c>
      <c r="O77" s="23">
        <f t="shared" si="25"/>
        <v>1.2451879144553077</v>
      </c>
      <c r="P77" s="23">
        <f t="shared" si="25"/>
        <v>1.4742753600363505</v>
      </c>
    </row>
    <row r="78" spans="6:16" ht="12.75" customHeight="1" hidden="1">
      <c r="F78" s="2">
        <f t="shared" si="19"/>
        <v>2300</v>
      </c>
      <c r="G78" s="23">
        <f aca="true" t="shared" si="26" ref="G78:P78">((29.9213*(1-G55*0.00000687535)^5.2561)-G$49)/G$49/$F78*10^5</f>
        <v>2.066404672559186</v>
      </c>
      <c r="H78" s="23">
        <f t="shared" si="26"/>
        <v>1.6386016187701995</v>
      </c>
      <c r="I78" s="23">
        <f t="shared" si="26"/>
        <v>1.5541492876922927</v>
      </c>
      <c r="J78" s="23">
        <f t="shared" si="26"/>
        <v>1.500400084010474</v>
      </c>
      <c r="K78" s="23">
        <f t="shared" si="26"/>
        <v>1.4560720754163445</v>
      </c>
      <c r="L78" s="23">
        <f t="shared" si="26"/>
        <v>1.3183032654164601</v>
      </c>
      <c r="M78" s="23">
        <f t="shared" si="26"/>
        <v>1.313433097593316</v>
      </c>
      <c r="N78" s="23">
        <f t="shared" si="26"/>
        <v>1.3095483980944673</v>
      </c>
      <c r="O78" s="23">
        <f t="shared" si="26"/>
        <v>1.3059178661340685</v>
      </c>
      <c r="P78" s="23">
        <f t="shared" si="26"/>
        <v>1.489335036154542</v>
      </c>
    </row>
    <row r="79" spans="6:16" ht="12.75" customHeight="1" hidden="1">
      <c r="F79" s="2">
        <f t="shared" si="19"/>
        <v>2400</v>
      </c>
      <c r="G79" s="23">
        <f aca="true" t="shared" si="27" ref="G79:P79">((29.9213*(1-G56*0.00000687535)^5.2561)-G$49)/G$49/$F79*10^5</f>
        <v>2.0434977977144495</v>
      </c>
      <c r="H79" s="23">
        <f t="shared" si="27"/>
        <v>1.7043954859391157</v>
      </c>
      <c r="I79" s="23">
        <f t="shared" si="27"/>
        <v>1.6317764723139023</v>
      </c>
      <c r="J79" s="23">
        <f t="shared" si="27"/>
        <v>1.588580193802324</v>
      </c>
      <c r="K79" s="23">
        <f t="shared" si="27"/>
        <v>1.554356064762574</v>
      </c>
      <c r="L79" s="23">
        <f t="shared" si="27"/>
        <v>1.4190795561505478</v>
      </c>
      <c r="M79" s="23">
        <f t="shared" si="27"/>
        <v>1.4118387589936627</v>
      </c>
      <c r="N79" s="23">
        <f t="shared" si="27"/>
        <v>1.405787736350296</v>
      </c>
      <c r="O79" s="23">
        <f t="shared" si="27"/>
        <v>1.3863609114403297</v>
      </c>
      <c r="P79" s="23">
        <f t="shared" si="27"/>
        <v>1.5201446601539599</v>
      </c>
    </row>
    <row r="80" spans="6:16" ht="12.75" customHeight="1" hidden="1">
      <c r="F80" s="2">
        <f t="shared" si="19"/>
        <v>2500</v>
      </c>
      <c r="G80" s="23">
        <f aca="true" t="shared" si="28" ref="G80:P80">((29.9213*(1-G57*0.00000687535)^5.2561)-G$49)/G$49/$F80*10^5</f>
        <v>2.033545254588359</v>
      </c>
      <c r="H80" s="23">
        <f t="shared" si="28"/>
        <v>1.788743408295466</v>
      </c>
      <c r="I80" s="23">
        <f t="shared" si="28"/>
        <v>1.7285164203577352</v>
      </c>
      <c r="J80" s="23">
        <f t="shared" si="28"/>
        <v>1.6965370627013954</v>
      </c>
      <c r="K80" s="23">
        <f t="shared" si="28"/>
        <v>1.673109679661394</v>
      </c>
      <c r="L80" s="23">
        <f t="shared" si="28"/>
        <v>1.5395371200894008</v>
      </c>
      <c r="M80" s="23">
        <f t="shared" si="28"/>
        <v>1.5296476617107402</v>
      </c>
      <c r="N80" s="23">
        <f t="shared" si="28"/>
        <v>1.521180785648255</v>
      </c>
      <c r="O80" s="23">
        <f t="shared" si="28"/>
        <v>1.4843315399642876</v>
      </c>
      <c r="P80" s="23">
        <f t="shared" si="28"/>
        <v>1.5648992177222139</v>
      </c>
    </row>
    <row r="81" spans="6:16" ht="12.75" customHeight="1" hidden="1">
      <c r="F81" s="2">
        <f t="shared" si="19"/>
        <v>2600</v>
      </c>
      <c r="G81" s="23">
        <f aca="true" t="shared" si="29" ref="G81:P81">((29.9213*(1-G58*0.00000687535)^5.2561)-G$49)/G$49/$F81*10^5</f>
        <v>2.0350965128332614</v>
      </c>
      <c r="H81" s="23">
        <f t="shared" si="29"/>
        <v>1.8897059679477128</v>
      </c>
      <c r="I81" s="23">
        <f t="shared" si="29"/>
        <v>1.8423915143073433</v>
      </c>
      <c r="J81" s="23">
        <f t="shared" si="29"/>
        <v>1.8222442195952133</v>
      </c>
      <c r="K81" s="23">
        <f t="shared" si="29"/>
        <v>1.810255644436953</v>
      </c>
      <c r="L81" s="23">
        <f t="shared" si="29"/>
        <v>1.677678941074435</v>
      </c>
      <c r="M81" s="23">
        <f t="shared" si="29"/>
        <v>1.6648858912003022</v>
      </c>
      <c r="N81" s="23">
        <f t="shared" si="29"/>
        <v>1.653774426375283</v>
      </c>
      <c r="O81" s="23">
        <f t="shared" si="29"/>
        <v>1.5980126751090677</v>
      </c>
      <c r="P81" s="23">
        <f t="shared" si="29"/>
        <v>1.6220864795711574</v>
      </c>
    </row>
    <row r="82" spans="6:16" ht="12.75" customHeight="1" hidden="1">
      <c r="F82" s="2">
        <f t="shared" si="19"/>
        <v>2700</v>
      </c>
      <c r="G82" s="23">
        <f aca="true" t="shared" si="30" ref="G82:P82">((29.9213*(1-G59*0.00000687535)^5.2561)-G$49)/G$49/$F82*10^5</f>
        <v>2.0469225769375865</v>
      </c>
      <c r="H82" s="23">
        <f t="shared" si="30"/>
        <v>2.00566181880097</v>
      </c>
      <c r="I82" s="23">
        <f t="shared" si="30"/>
        <v>1.9717519429350725</v>
      </c>
      <c r="J82" s="23">
        <f t="shared" si="30"/>
        <v>1.9640145559877715</v>
      </c>
      <c r="K82" s="23">
        <f t="shared" si="30"/>
        <v>1.9640681183989062</v>
      </c>
      <c r="L82" s="23">
        <f t="shared" si="30"/>
        <v>1.8318458789130514</v>
      </c>
      <c r="M82" s="23">
        <f t="shared" si="30"/>
        <v>1.8159125860338536</v>
      </c>
      <c r="N82" s="23">
        <f t="shared" si="30"/>
        <v>1.8019442650352786</v>
      </c>
      <c r="O82" s="23">
        <f t="shared" si="30"/>
        <v>1.725887795453954</v>
      </c>
      <c r="P82" s="23">
        <f t="shared" si="30"/>
        <v>1.6904328951037833</v>
      </c>
    </row>
    <row r="83" ht="12.75" customHeight="1" hidden="1"/>
    <row r="84" ht="12.75" customHeight="1" hidden="1"/>
    <row r="85" ht="12.75" customHeight="1" hidden="1"/>
    <row r="86" ht="12.75" customHeight="1" hidden="1"/>
    <row r="87" ht="12.75" customHeight="1" hidden="1"/>
    <row r="88" ht="12.75" customHeight="1" hidden="1"/>
    <row r="89" ht="12.75" customHeight="1" hidden="1"/>
    <row r="90" spans="1:5" ht="12.75" customHeight="1" hidden="1">
      <c r="A90" s="2" t="s">
        <v>46</v>
      </c>
      <c r="E90" s="2" t="s">
        <v>47</v>
      </c>
    </row>
    <row r="91" spans="1:8" ht="12.75" customHeight="1" hidden="1">
      <c r="A91" s="2" t="str">
        <f>"data for "</f>
        <v>data for </v>
      </c>
      <c r="B91" s="2">
        <f>IF(B$6&lt;B12,INDEX(sea_level_data,MATCH(B$6,rpm,1),1),B12-100)</f>
        <v>2400</v>
      </c>
      <c r="E91" s="2" t="str">
        <f>"data for (rpm)"</f>
        <v>data for (rpm)</v>
      </c>
      <c r="F91" s="2">
        <f>B91</f>
        <v>2400</v>
      </c>
      <c r="G91" s="2">
        <f>F91</f>
        <v>2400</v>
      </c>
      <c r="H91" s="2">
        <f>G91</f>
        <v>2400</v>
      </c>
    </row>
    <row r="92" spans="1:8" ht="12.75" customHeight="1" hidden="1">
      <c r="A92" s="2" t="str">
        <f>"min MP ("&amp;TEXT(B91,"General")&amp;" rpm)"</f>
        <v>min MP (2400 rpm)</v>
      </c>
      <c r="B92" s="2">
        <f>INDEX(min_MP,MATCH(B$91,rpm),1)</f>
        <v>17</v>
      </c>
      <c r="E92" s="2" t="s">
        <v>48</v>
      </c>
      <c r="F92" s="1">
        <f>INDEX($V$49:$AE$49,1,MATCH($B$7,$V$49:$AE$49,1))</f>
        <v>22</v>
      </c>
      <c r="G92" s="2">
        <f>INDEX($V$49:$AE$49,1,MATCH($B$7,$V$49:$AE$49,1)+1)</f>
        <v>24</v>
      </c>
      <c r="H92" s="2">
        <f>B7</f>
        <v>23</v>
      </c>
    </row>
    <row r="93" spans="1:8" ht="12.75" customHeight="1" hidden="1">
      <c r="A93" s="2" t="str">
        <f>"min hp ("&amp;TEXT(B91,"General")&amp;" rpm)"</f>
        <v>min hp (2400 rpm)</v>
      </c>
      <c r="B93" s="2">
        <f>INDEX(min_hp,MATCH(B$91,rpm),1)</f>
        <v>114</v>
      </c>
      <c r="E93" s="2" t="s">
        <v>49</v>
      </c>
      <c r="F93" s="2">
        <f>HLOOKUP(F92,$V$49:$AE$59,MATCH(F91,$U$50:$U$59,1)+1)</f>
        <v>0.800995177449045</v>
      </c>
      <c r="G93" s="2">
        <f>HLOOKUP(G92,$V$49:$AE$59,MATCH(G91,$U$50:$U$59)+1)</f>
        <v>0.8593496212875747</v>
      </c>
      <c r="H93" s="2">
        <f>F93+(H92-F92)/(G92-F92)*(G93-F93)</f>
        <v>0.8301723993683099</v>
      </c>
    </row>
    <row r="94" spans="1:2" ht="12.75" customHeight="1" hidden="1">
      <c r="A94" s="2" t="str">
        <f>"max MP ("&amp;TEXT(B91,"General")&amp;" rpm)"</f>
        <v>max MP (2400 rpm)</v>
      </c>
      <c r="B94" s="2">
        <f>INDEX(max_MP,MATCH(B$91,rpm),1)</f>
        <v>28.9</v>
      </c>
    </row>
    <row r="95" spans="1:2" ht="12.75" customHeight="1" hidden="1">
      <c r="A95" s="2" t="str">
        <f>"max hp ("&amp;TEXT(B91,"General")&amp;" rpm)"</f>
        <v>max hp (2400 rpm)</v>
      </c>
      <c r="B95" s="2">
        <f>INDEX(max_hp,MATCH(B$91,rpm),1)</f>
        <v>237.8</v>
      </c>
    </row>
    <row r="96" ht="12.75" customHeight="1" hidden="1"/>
    <row r="97" spans="1:8" ht="12.75" customHeight="1" hidden="1">
      <c r="A97" s="2" t="str">
        <f>"data for "</f>
        <v>data for </v>
      </c>
      <c r="B97" s="2">
        <f>INDEX(sea_level_data,MATCH(B$6,rpm,1)+1,1)</f>
        <v>2500</v>
      </c>
      <c r="E97" s="2" t="str">
        <f>"data for (rpm)"</f>
        <v>data for (rpm)</v>
      </c>
      <c r="F97" s="2">
        <f>B97</f>
        <v>2500</v>
      </c>
      <c r="G97" s="2">
        <f>F97</f>
        <v>2500</v>
      </c>
      <c r="H97" s="2">
        <f>G97</f>
        <v>2500</v>
      </c>
    </row>
    <row r="98" spans="1:8" ht="12.75" customHeight="1" hidden="1">
      <c r="A98" s="2" t="str">
        <f>"min MP ("&amp;TEXT(B97,"General")&amp;" rpm)"</f>
        <v>min MP (2500 rpm)</v>
      </c>
      <c r="B98" s="2">
        <f>INDEX(sea_level_data,MATCH(B$6,rpm,1)+1,2)</f>
        <v>17</v>
      </c>
      <c r="E98" s="2" t="s">
        <v>48</v>
      </c>
      <c r="F98" s="1">
        <f>INDEX($V$49:$AE$49,1,MATCH($B$7,$V$49:$AE$49,1))</f>
        <v>22</v>
      </c>
      <c r="G98" s="2">
        <f>INDEX($V$49:$AE$49,1,MATCH($B$7,$V$49:$AE$49,1)+1)</f>
        <v>24</v>
      </c>
      <c r="H98" s="2">
        <f>B7</f>
        <v>23</v>
      </c>
    </row>
    <row r="99" spans="1:8" ht="12.75" customHeight="1" hidden="1">
      <c r="A99" s="2" t="str">
        <f>"min hp ("&amp;TEXT(B97,"General")&amp;" rpm)"</f>
        <v>min hp (2500 rpm)</v>
      </c>
      <c r="B99" s="2">
        <f>INDEX(sea_level_data,MATCH(B$6,rpm,1)+1,3)</f>
        <v>120.5</v>
      </c>
      <c r="E99" s="2" t="s">
        <v>49</v>
      </c>
      <c r="F99" s="2">
        <f>HLOOKUP(F98,$V$49:$AE$59,MATCH(F97,$U$50:$U$59)+1)</f>
        <v>0.8037730420107119</v>
      </c>
      <c r="G99" s="2">
        <f>HLOOKUP(G98,$V$49:$AE$59,MATCH(G97,$U$50:$U$59)+1)</f>
        <v>0.8622809602996784</v>
      </c>
      <c r="H99" s="2">
        <f>F99+(H98-F98)/(G98-F98)*(G99-F99)</f>
        <v>0.8330270011551951</v>
      </c>
    </row>
    <row r="100" spans="1:2" ht="12.75" customHeight="1" hidden="1">
      <c r="A100" s="2" t="str">
        <f>"max MP ("&amp;TEXT(B97,"General")&amp;" rpm)"</f>
        <v>max MP (2500 rpm)</v>
      </c>
      <c r="B100" s="2">
        <f>INDEX(sea_level_data,MATCH(B$6,rpm,1)+1,4)</f>
        <v>28.85</v>
      </c>
    </row>
    <row r="101" spans="1:6" ht="12.75" customHeight="1" hidden="1">
      <c r="A101" s="2" t="str">
        <f>"max hp ("&amp;TEXT(B97,"General")&amp;" rpm)"</f>
        <v>max hp (2500 rpm)</v>
      </c>
      <c r="B101" s="2">
        <f>INDEX(sea_level_data,MATCH(B$6,rpm,1)+1,5)</f>
        <v>246</v>
      </c>
      <c r="E101" s="2" t="str">
        <f>"data for (rpm)"</f>
        <v>data for (rpm)</v>
      </c>
      <c r="F101" s="2">
        <f>B6</f>
        <v>2400</v>
      </c>
    </row>
    <row r="102" spans="5:6" ht="12.75" customHeight="1" hidden="1">
      <c r="E102" s="2" t="s">
        <v>48</v>
      </c>
      <c r="F102" s="2">
        <f>B7</f>
        <v>23</v>
      </c>
    </row>
    <row r="103" spans="1:6" ht="12.75" customHeight="1" hidden="1">
      <c r="A103" s="2" t="str">
        <f>"sea level hp at "&amp;TEXT(B91,"General")&amp;" rpm"</f>
        <v>sea level hp at 2400 rpm</v>
      </c>
      <c r="B103" s="2">
        <f>B93+(B7-B92)/(B94-B92)*(B95-B93)</f>
        <v>176.4201680672269</v>
      </c>
      <c r="E103" s="2" t="s">
        <v>49</v>
      </c>
      <c r="F103" s="2">
        <f>IF(H97=H91,H93,H93+(F101-H91)/(H97-H91)*(H99-H93))</f>
        <v>0.8301723993683099</v>
      </c>
    </row>
    <row r="104" spans="1:2" ht="12.75" customHeight="1" hidden="1">
      <c r="A104" s="2" t="str">
        <f>"sea level hp at "&amp;TEXT(B97,"General")&amp;" rpm"</f>
        <v>sea level hp at 2500 rpm</v>
      </c>
      <c r="B104" s="2">
        <f>B99+(B7-B98)/(B100-B98)*(B101-B99)</f>
        <v>184.04430379746833</v>
      </c>
    </row>
    <row r="105" spans="5:8" ht="12.75" customHeight="1" hidden="1">
      <c r="E105" s="2" t="s">
        <v>50</v>
      </c>
      <c r="F105" s="2">
        <f>F91</f>
        <v>2400</v>
      </c>
      <c r="G105" s="2">
        <f>F97</f>
        <v>2500</v>
      </c>
      <c r="H105" s="2">
        <f>B6</f>
        <v>2400</v>
      </c>
    </row>
    <row r="106" spans="1:8" ht="12.75" customHeight="1" hidden="1">
      <c r="A106" s="2" t="str">
        <f>"sea level hp at "&amp;TEXT(B6,"General")&amp;" rpm"</f>
        <v>sea level hp at 2400 rpm</v>
      </c>
      <c r="B106" s="2">
        <f>IF(B97=B91,B103,B103+(B6-B91)/(B97-B91)*(B104-B103))</f>
        <v>176.4201680672269</v>
      </c>
      <c r="E106" s="2" t="s">
        <v>51</v>
      </c>
      <c r="F106" s="2">
        <v>1</v>
      </c>
      <c r="G106" s="2">
        <v>1</v>
      </c>
      <c r="H106" s="2">
        <v>1</v>
      </c>
    </row>
    <row r="107" spans="5:8" ht="12.75" customHeight="1" hidden="1">
      <c r="E107" s="2" t="s">
        <v>35</v>
      </c>
      <c r="F107" s="2">
        <f>INDEX(hp_at_sea_level,MATCH(F105,rpm_at_altitude),1)</f>
        <v>237.8</v>
      </c>
      <c r="G107" s="2">
        <f>INDEX(hp_at_sea_level,MATCH(G105,rpm_at_altitude),1)</f>
        <v>246</v>
      </c>
      <c r="H107" s="2">
        <f>IF(F$105=G$105,G107,F107+(H$105-F$105)/(G$105-F$105)*(G107-F107))</f>
        <v>237.8</v>
      </c>
    </row>
    <row r="108" spans="5:8" ht="12.75" customHeight="1" hidden="1">
      <c r="E108" s="2" t="s">
        <v>38</v>
      </c>
      <c r="F108" s="2">
        <f>INDEX(hp_at_ALT2,MATCH(F105,rpm_at_altitude),1)</f>
        <v>91.5</v>
      </c>
      <c r="G108" s="2">
        <f>INDEX(hp_at_ALT2,MATCH(G105,rpm_at_altitude),1)</f>
        <v>94.2</v>
      </c>
      <c r="H108" s="2">
        <f>IF(F$105=G$105,G108,F108+(H$105-F$105)/(G$105-F$105)*(G108-F108))</f>
        <v>91.5</v>
      </c>
    </row>
    <row r="109" spans="5:8" ht="12.75" customHeight="1" hidden="1">
      <c r="E109" s="2" t="s">
        <v>37</v>
      </c>
      <c r="F109" s="2">
        <f>INDEX(density_ration_at_ALT2,MATCH(F105,rpm_at_altitude),1)</f>
        <v>0.4641637429081487</v>
      </c>
      <c r="G109" s="2">
        <f>INDEX(density_ration_at_ALT2,MATCH(G105,rpm_at_altitude),1)</f>
        <v>0.4641637429081487</v>
      </c>
      <c r="H109" s="2">
        <f>INDEX(density_ration_at_ALT2,MATCH(H105,rpm_at_altitude),1)</f>
        <v>0.4641637429081487</v>
      </c>
    </row>
    <row r="110" ht="12.75" customHeight="1" hidden="1"/>
    <row r="111" spans="5:6" ht="12.75" customHeight="1" hidden="1">
      <c r="E111" s="2" t="s">
        <v>49</v>
      </c>
      <c r="F111" s="2">
        <f>F103</f>
        <v>0.8301723993683099</v>
      </c>
    </row>
    <row r="112" spans="5:6" ht="12.75" customHeight="1" hidden="1">
      <c r="E112" s="2" t="s">
        <v>52</v>
      </c>
      <c r="F112" s="2">
        <f>H107+(F111-H106)/(H109-H106)*(H108-H107)</f>
        <v>191.43177156532488</v>
      </c>
    </row>
    <row r="113" ht="12.75" customHeight="1" hidden="1"/>
    <row r="114" ht="12.75" customHeight="1" hidden="1">
      <c r="A114" s="2" t="s">
        <v>53</v>
      </c>
    </row>
    <row r="115" spans="1:2" ht="12.75" customHeight="1" hidden="1">
      <c r="A115" s="2" t="s">
        <v>54</v>
      </c>
      <c r="B115" s="2">
        <f>(1-B5*6.87535*10^-6)^4.2561</f>
        <v>0.7860132071886506</v>
      </c>
    </row>
    <row r="116" spans="1:2" ht="12.75" customHeight="1" hidden="1">
      <c r="A116" s="2" t="s">
        <v>51</v>
      </c>
      <c r="B116" s="2">
        <v>1</v>
      </c>
    </row>
    <row r="117" spans="1:2" ht="12.75" customHeight="1" hidden="1">
      <c r="A117" s="2" t="s">
        <v>35</v>
      </c>
      <c r="B117" s="2">
        <f>B106</f>
        <v>176.4201680672269</v>
      </c>
    </row>
    <row r="118" spans="1:2" ht="12.75" customHeight="1" hidden="1">
      <c r="A118" s="2" t="s">
        <v>49</v>
      </c>
      <c r="B118" s="2">
        <f>F111</f>
        <v>0.8301723993683099</v>
      </c>
    </row>
    <row r="119" spans="1:2" ht="12.75" customHeight="1" hidden="1">
      <c r="A119" s="2" t="s">
        <v>52</v>
      </c>
      <c r="B119" s="2">
        <f>F112</f>
        <v>191.43177156532488</v>
      </c>
    </row>
    <row r="120" spans="1:2" ht="12.75" customHeight="1" hidden="1">
      <c r="A120" s="2" t="s">
        <v>55</v>
      </c>
      <c r="B120" s="2">
        <f>B117+(B115-B116)/(B118-B116)*(B119-B117)</f>
        <v>195.33514346324742</v>
      </c>
    </row>
    <row r="121" ht="12.75" customHeight="1" hidden="1"/>
    <row r="122" ht="12.75" customHeight="1" hidden="1">
      <c r="A122" s="2" t="s">
        <v>56</v>
      </c>
    </row>
    <row r="123" spans="1:2" ht="12.75" customHeight="1" hidden="1">
      <c r="A123" s="2" t="s">
        <v>57</v>
      </c>
      <c r="B123" s="2">
        <f>IF(temp_unit="c",temp_actual,IF(temp_unit="f",(temp_actual-32)/1.8,"Invalid temp units in cell B7"))</f>
        <v>15.555555555555555</v>
      </c>
    </row>
    <row r="124" spans="1:2" ht="12.75" customHeight="1" hidden="1">
      <c r="A124" s="2" t="s">
        <v>58</v>
      </c>
      <c r="B124" s="2">
        <f>15-0.0019812*B5</f>
        <v>-0.8495999999999988</v>
      </c>
    </row>
    <row r="125" spans="1:3" ht="12.75" customHeight="1" hidden="1">
      <c r="A125" s="2" t="s">
        <v>59</v>
      </c>
      <c r="B125" s="2">
        <f>B120*SQRT((B124+273.15)/(B123+273.15))</f>
        <v>189.70420383793254</v>
      </c>
      <c r="C125" s="2" t="s">
        <v>60</v>
      </c>
    </row>
    <row r="126" ht="12.75" customHeight="1" hidden="1"/>
    <row r="127" spans="1:2" ht="12.75" customHeight="1" hidden="1">
      <c r="A127" s="2" t="s">
        <v>61</v>
      </c>
      <c r="B127" s="2">
        <f>B124-20/1.8</f>
        <v>-11.96071111111111</v>
      </c>
    </row>
    <row r="128" spans="1:2" ht="12.75" customHeight="1" hidden="1">
      <c r="A128" s="2" t="s">
        <v>62</v>
      </c>
      <c r="B128" s="2">
        <f>B120*SQRT((B124+273.15)/(B127+273.15))</f>
        <v>199.44669495982077</v>
      </c>
    </row>
    <row r="129" ht="12.75" customHeight="1" hidden="1"/>
    <row r="130" spans="1:2" ht="12.75" customHeight="1" hidden="1">
      <c r="A130" s="2" t="s">
        <v>63</v>
      </c>
      <c r="B130" s="2">
        <f>B124+20/1.8</f>
        <v>10.261511111111112</v>
      </c>
    </row>
    <row r="131" spans="1:2" ht="12.75" customHeight="1" hidden="1">
      <c r="A131" s="2" t="s">
        <v>64</v>
      </c>
      <c r="B131" s="2">
        <f>B120*SQRT((B124+273.15)/(B130+273.15))</f>
        <v>191.46781563043564</v>
      </c>
    </row>
    <row r="132" ht="12.75" customHeight="1" hidden="1"/>
    <row r="133" ht="12.75" customHeight="1"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50" ht="15"/>
    <row r="151" ht="15"/>
    <row r="152" ht="15"/>
    <row r="153" ht="15"/>
    <row r="154" ht="15"/>
  </sheetData>
  <sheetProtection selectLockedCells="1" selectUnlockedCells="1"/>
  <hyperlinks>
    <hyperlink ref="C1" r:id="rId1" display="by Kevin Horton - kevin01@kilohotel.com, www.kilohotel.com/rv8"/>
  </hyperlinks>
  <printOptions gridLines="1" headings="1"/>
  <pageMargins left="0.7875" right="0.7875" top="0.69375" bottom="0.69375" header="0.5" footer="0.5"/>
  <pageSetup firstPageNumber="72" useFirstPageNumber="1" horizontalDpi="300" verticalDpi="300" orientation="portrait"/>
  <headerFooter alignWithMargins="0">
    <oddHeader>&amp;L&amp;10io360apwr98.xls</oddHeader>
    <oddFooter>&amp;L&amp;10Page &amp;P</oddFooter>
  </headerFooter>
  <legacyDrawing r:id="rId3"/>
</worksheet>
</file>

<file path=xl/worksheets/sheet2.xml><?xml version="1.0" encoding="utf-8"?>
<worksheet xmlns="http://schemas.openxmlformats.org/spreadsheetml/2006/main" xmlns:r="http://schemas.openxmlformats.org/officeDocument/2006/relationships">
  <dimension ref="A1:A6"/>
  <sheetViews>
    <sheetView showOutlineSymbols="0" workbookViewId="0" topLeftCell="A1">
      <selection activeCell="A7" sqref="A7"/>
    </sheetView>
  </sheetViews>
  <sheetFormatPr defaultColWidth="8.88671875" defaultRowHeight="15"/>
  <sheetData>
    <row r="1" ht="15">
      <c r="A1" s="1" t="s">
        <v>65</v>
      </c>
    </row>
    <row r="2" ht="15">
      <c r="A2" s="4" t="s">
        <v>66</v>
      </c>
    </row>
    <row r="3" ht="15">
      <c r="A3" s="4" t="s">
        <v>67</v>
      </c>
    </row>
    <row r="4" ht="15">
      <c r="A4" s="4" t="s">
        <v>68</v>
      </c>
    </row>
    <row r="5" ht="15">
      <c r="A5" s="1" t="s">
        <v>69</v>
      </c>
    </row>
    <row r="6" ht="15">
      <c r="A6" s="4" t="s">
        <v>70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0"/>
  <sheetViews>
    <sheetView showOutlineSymbols="0" workbookViewId="0" topLeftCell="A1">
      <selection activeCell="A21" sqref="A21"/>
    </sheetView>
  </sheetViews>
  <sheetFormatPr defaultColWidth="9.77734375" defaultRowHeight="15"/>
  <cols>
    <col min="1" max="16384" width="9.6640625" style="0" customWidth="1"/>
  </cols>
  <sheetData>
    <row r="1" ht="15">
      <c r="A1" t="s">
        <v>71</v>
      </c>
    </row>
    <row r="3" ht="15">
      <c r="A3" s="2" t="s">
        <v>72</v>
      </c>
    </row>
    <row r="5" ht="15">
      <c r="A5" t="s">
        <v>73</v>
      </c>
    </row>
    <row r="6" ht="15">
      <c r="A6" t="s">
        <v>74</v>
      </c>
    </row>
    <row r="8" ht="15">
      <c r="A8" t="s">
        <v>75</v>
      </c>
    </row>
    <row r="9" ht="15">
      <c r="A9" t="s">
        <v>76</v>
      </c>
    </row>
    <row r="10" ht="15">
      <c r="A10" t="s">
        <v>77</v>
      </c>
    </row>
    <row r="11" ht="15">
      <c r="A11" t="s">
        <v>78</v>
      </c>
    </row>
    <row r="12" ht="15">
      <c r="A12" t="s">
        <v>79</v>
      </c>
    </row>
    <row r="13" ht="15">
      <c r="A13" t="s">
        <v>80</v>
      </c>
    </row>
    <row r="14" ht="15">
      <c r="A14" t="s">
        <v>81</v>
      </c>
    </row>
    <row r="15" ht="15">
      <c r="A15" t="s">
        <v>82</v>
      </c>
    </row>
    <row r="17" ht="15">
      <c r="A17" t="s">
        <v>83</v>
      </c>
    </row>
    <row r="18" ht="15">
      <c r="A18" t="s">
        <v>84</v>
      </c>
    </row>
    <row r="19" ht="15">
      <c r="A19" t="s">
        <v>85</v>
      </c>
    </row>
    <row r="20" ht="15">
      <c r="A20" t="s">
        <v>86</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2015-04-26T00:25:11Z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