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io360apwr.xls" sheetId="1" r:id="rId1"/>
    <sheet name="Notes" sheetId="2" r:id="rId2"/>
    <sheet name="Version History" sheetId="3" r:id="rId3"/>
  </sheets>
  <definedNames>
    <definedName name="ALT2">'io360apwr.xls'!$C$53:$C$62</definedName>
    <definedName name="density_ration_at_ALT2">'io360apwr.xls'!$D$53:$D$62</definedName>
    <definedName name="hp_at_ALT2">'io360apwr.xls'!$E$53:$E$62</definedName>
    <definedName name="hp_at_altitude">'io360apwr.xls'!$A$53:$E$62</definedName>
    <definedName name="hp_at_sea_level">'io360apwr.xls'!$B$53:$B$62</definedName>
    <definedName name="max_hp">'io360apwr.xls'!$J$28:$J$37</definedName>
    <definedName name="max_MP">'io360apwr.xls'!$I$28:$I$37</definedName>
    <definedName name="min_hp">'io360apwr.xls'!$H$28:$H$37</definedName>
    <definedName name="min_MP">'io360apwr.xls'!$G$28:$G$37</definedName>
    <definedName name="rpm">'io360apwr.xls'!$F$28:$F$37</definedName>
    <definedName name="rpm_at_altitude">'io360apwr.xls'!$A$53:$A$62</definedName>
    <definedName name="rpm_input">'io360apwr.xls'!$A$10:$B$10</definedName>
    <definedName name="sea_level_data">'io360apwr.xls'!$F$28:$J$38</definedName>
    <definedName name="temp_actual">'io360apwr.xls'!$B$13</definedName>
    <definedName name="temp_unit">'io360apwr.xls'!$B$12</definedName>
  </definedNames>
  <calcPr fullCalcOnLoad="1"/>
</workbook>
</file>

<file path=xl/sharedStrings.xml><?xml version="1.0" encoding="utf-8"?>
<sst xmlns="http://schemas.openxmlformats.org/spreadsheetml/2006/main" count="92" uniqueCount="78">
  <si>
    <t>Lycoming IO-360-A, -C, -D, -J, -K &amp; AIO-360 series Power Chart</t>
  </si>
  <si>
    <t>v1.03, 16 March 2015</t>
  </si>
  <si>
    <t>data from Lycoming curve 12700-A - valid at maximum power mixture only</t>
  </si>
  <si>
    <t>by Kevin Horton - kevin01@kilohotel.com</t>
  </si>
  <si>
    <t>http://www.kilohotel.com/rv8</t>
  </si>
  <si>
    <t>User Input Data</t>
  </si>
  <si>
    <t>Altitude (ft):</t>
  </si>
  <si>
    <t>rpm input:</t>
  </si>
  <si>
    <t>MP (in HG):</t>
  </si>
  <si>
    <t>temperature units (F or C):</t>
  </si>
  <si>
    <t>C</t>
  </si>
  <si>
    <t>Relative humidity (%):</t>
  </si>
  <si>
    <t>Rated Power (hp)</t>
  </si>
  <si>
    <t>Calculated Data</t>
  </si>
  <si>
    <t>hp</t>
  </si>
  <si>
    <t>(% power)</t>
  </si>
  <si>
    <t>power at actual temperature=</t>
  </si>
  <si>
    <t>power at standard temperature - 20 deg F=</t>
  </si>
  <si>
    <t>power at standard temperature=</t>
  </si>
  <si>
    <t>power at standard temperature + 20 deg F=</t>
  </si>
  <si>
    <t>Sea Level Part Throttle Data</t>
  </si>
  <si>
    <t>Data for graph</t>
  </si>
  <si>
    <t>Data for spreadsheet</t>
  </si>
  <si>
    <t>rpm</t>
  </si>
  <si>
    <t>MP</t>
  </si>
  <si>
    <t>Power</t>
  </si>
  <si>
    <t>min MP</t>
  </si>
  <si>
    <t>min hp</t>
  </si>
  <si>
    <t>max MP</t>
  </si>
  <si>
    <t>max hp</t>
  </si>
  <si>
    <t>Full Throttle Data (at altitude)</t>
  </si>
  <si>
    <t>Data from graph</t>
  </si>
  <si>
    <t>Full Throttle altitudes at MP</t>
  </si>
  <si>
    <t>Data for calculation - density ratios at MP</t>
  </si>
  <si>
    <t>rpm at altitude</t>
  </si>
  <si>
    <t>hp at sea level</t>
  </si>
  <si>
    <t>ALT2</t>
  </si>
  <si>
    <t>density ratio at ALT2</t>
  </si>
  <si>
    <t>hp at ALT2</t>
  </si>
  <si>
    <t>Pressure loss/pressure/rpm*10000 (use to smooth data someday)</t>
  </si>
  <si>
    <t>average</t>
  </si>
  <si>
    <t>slope</t>
  </si>
  <si>
    <t>y intercept</t>
  </si>
  <si>
    <t>Sea Level, part throttle power calc</t>
  </si>
  <si>
    <t>Full throttle power at altitude calc</t>
  </si>
  <si>
    <t>data for (in HG)</t>
  </si>
  <si>
    <t>density ratio at FT</t>
  </si>
  <si>
    <t>data for (rpm)</t>
  </si>
  <si>
    <t>density ratio at sea level</t>
  </si>
  <si>
    <t>hp at FT</t>
  </si>
  <si>
    <t>Calculation at actual altitude</t>
  </si>
  <si>
    <t>density ratio at actual altitude</t>
  </si>
  <si>
    <t>hp at actual altitude (standard temp)</t>
  </si>
  <si>
    <t>Temperature correction</t>
  </si>
  <si>
    <t>Actual temp (deg C)</t>
  </si>
  <si>
    <t>Standard temp (deg C)</t>
  </si>
  <si>
    <t>Corrected power at actual temp</t>
  </si>
  <si>
    <t>Correction from Lycoming</t>
  </si>
  <si>
    <t>Temp at ISA - 20 deg F(deg C)</t>
  </si>
  <si>
    <t>Power at ISA - 20 deg F</t>
  </si>
  <si>
    <t>Temp at ISA + 20 deg F (deg C)</t>
  </si>
  <si>
    <t>Power at ISA + 20 deg F</t>
  </si>
  <si>
    <t>Note: The accuracy of the spreadsheet calculations</t>
  </si>
  <si>
    <t>were validated by spot checks against the power</t>
  </si>
  <si>
    <t>chart from a Cessna 177RG POH (IO-360-A1B6D) found</t>
  </si>
  <si>
    <t xml:space="preserve">at http://www.aerowings.org/aircraftpoh.htm  </t>
  </si>
  <si>
    <t>The spreadsheet typically calculated one-half to one</t>
  </si>
  <si>
    <t>percent higher power for the same rpm and MP than</t>
  </si>
  <si>
    <t>was given in the POH.  But, the spreadsheet is</t>
  </si>
  <si>
    <t>valid at maximum power mixture, and the POH data</t>
  </si>
  <si>
    <t xml:space="preserve">is for "recommended lean mixture", which is slightly </t>
  </si>
  <si>
    <t>leaner than mixture for best power, so this is</t>
  </si>
  <si>
    <t>probably about correct.</t>
  </si>
  <si>
    <t xml:space="preserve">Version history </t>
  </si>
  <si>
    <t xml:space="preserve">v1.0  - 1 Jan 2003 - Initial release </t>
  </si>
  <si>
    <t xml:space="preserve">v1.01 - 3 Jan 2003 - corrected several errors </t>
  </si>
  <si>
    <t>v1.02 - 4 Jan 2003 - added info about validation against C177RG power chart</t>
  </si>
  <si>
    <t>v1.03 – 16 Mar 2015 – moved validation info to Notes sheet.  Added Version History sheet.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</si>
</sst>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%"/>
  </numFmts>
  <fonts count="5">
    <font>
      <sz val="12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9"/>
      <color indexed="8"/>
      <name val="Geneva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 locked="0"/>
    </xf>
    <xf numFmtId="164" fontId="0" fillId="0" borderId="0">
      <alignment/>
      <protection locked="0"/>
    </xf>
    <xf numFmtId="164" fontId="0" fillId="0" borderId="0">
      <alignment/>
      <protection locked="0"/>
    </xf>
    <xf numFmtId="164" fontId="0" fillId="0" borderId="0">
      <alignment/>
      <protection locked="0"/>
    </xf>
    <xf numFmtId="164" fontId="0" fillId="0" borderId="0">
      <alignment/>
      <protection locked="0"/>
    </xf>
    <xf numFmtId="164" fontId="3" fillId="0" borderId="0">
      <alignment/>
      <protection locked="0"/>
    </xf>
  </cellStyleXfs>
  <cellXfs count="17">
    <xf numFmtId="164" fontId="0" fillId="0" borderId="0" xfId="0" applyAlignment="1">
      <alignment/>
    </xf>
    <xf numFmtId="164" fontId="0" fillId="0" borderId="0" xfId="21">
      <alignment/>
      <protection locked="0"/>
    </xf>
    <xf numFmtId="164" fontId="4" fillId="0" borderId="0" xfId="0" applyFont="1" applyAlignment="1">
      <alignment/>
    </xf>
    <xf numFmtId="164" fontId="0" fillId="0" borderId="0" xfId="21" applyFont="1">
      <alignment/>
      <protection locked="0"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 horizontal="right"/>
      <protection locked="0"/>
    </xf>
    <xf numFmtId="164" fontId="0" fillId="0" borderId="0" xfId="21" applyFont="1" applyProtection="1">
      <alignment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 horizontal="right"/>
    </xf>
    <xf numFmtId="166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25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dy" xfId="20"/>
    <cellStyle name="Default 1 1" xfId="21"/>
    <cellStyle name="Default SS" xfId="22"/>
    <cellStyle name="Default TB" xfId="23"/>
    <cellStyle name="Footer" xfId="24"/>
    <cellStyle name="Heade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01@kilohot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tabSelected="1" showOutlineSymbols="0" workbookViewId="0" topLeftCell="A1">
      <selection activeCell="A1" sqref="A1"/>
    </sheetView>
  </sheetViews>
  <sheetFormatPr defaultColWidth="13.3359375" defaultRowHeight="12.75" customHeight="1"/>
  <cols>
    <col min="1" max="1" width="42.4453125" style="1" customWidth="1"/>
    <col min="2" max="2" width="8.4453125" style="1" customWidth="1"/>
    <col min="3" max="3" width="9.88671875" style="1" customWidth="1"/>
    <col min="4" max="4" width="7.99609375" style="1" customWidth="1"/>
    <col min="5" max="5" width="21.88671875" style="1" customWidth="1"/>
    <col min="6" max="7" width="11.3359375" style="1" customWidth="1"/>
    <col min="8" max="8" width="12.6640625" style="1" customWidth="1"/>
    <col min="9" max="33" width="11.3359375" style="1" customWidth="1"/>
    <col min="34" max="16384" width="12.4453125" style="0" customWidth="1"/>
  </cols>
  <sheetData>
    <row r="1" spans="1:3" ht="15">
      <c r="A1" s="2" t="s">
        <v>0</v>
      </c>
      <c r="B1" s="3"/>
      <c r="C1"/>
    </row>
    <row r="2" spans="1:3" ht="15">
      <c r="A2" s="4" t="s">
        <v>1</v>
      </c>
      <c r="B2" s="3"/>
      <c r="C2"/>
    </row>
    <row r="3" spans="1:3" ht="12.75" customHeight="1">
      <c r="A3" s="4"/>
      <c r="B3" s="3"/>
      <c r="C3"/>
    </row>
    <row r="4" spans="1:3" ht="15">
      <c r="A4" s="4" t="s">
        <v>2</v>
      </c>
      <c r="B4" s="3"/>
      <c r="C4" s="3"/>
    </row>
    <row r="5" spans="1:3" ht="15">
      <c r="A5" s="4" t="s">
        <v>3</v>
      </c>
      <c r="B5" s="3"/>
      <c r="C5" s="3"/>
    </row>
    <row r="6" spans="1:3" ht="15">
      <c r="A6" s="4" t="s">
        <v>4</v>
      </c>
      <c r="B6" s="3"/>
      <c r="C6" s="3"/>
    </row>
    <row r="7" spans="1:3" ht="12.75" customHeight="1">
      <c r="A7" s="3"/>
      <c r="B7" s="3"/>
      <c r="C7" s="3"/>
    </row>
    <row r="8" spans="1:5" ht="15">
      <c r="A8" s="2" t="s">
        <v>5</v>
      </c>
      <c r="B8" s="3"/>
      <c r="C8" s="3"/>
      <c r="E8"/>
    </row>
    <row r="9" spans="1:5" ht="15">
      <c r="A9" s="4" t="s">
        <v>6</v>
      </c>
      <c r="B9" s="5">
        <v>8000</v>
      </c>
      <c r="C9" s="3"/>
      <c r="E9"/>
    </row>
    <row r="10" spans="1:5" ht="15">
      <c r="A10" s="4" t="s">
        <v>7</v>
      </c>
      <c r="B10" s="5">
        <v>2300</v>
      </c>
      <c r="C10" s="3"/>
      <c r="E10"/>
    </row>
    <row r="11" spans="1:5" ht="15">
      <c r="A11" s="4" t="s">
        <v>8</v>
      </c>
      <c r="B11" s="6">
        <v>23</v>
      </c>
      <c r="C11" s="3"/>
      <c r="E11"/>
    </row>
    <row r="12" spans="1:5" ht="15">
      <c r="A12" s="4" t="s">
        <v>9</v>
      </c>
      <c r="B12" s="7" t="s">
        <v>10</v>
      </c>
      <c r="C12" s="3"/>
      <c r="E12"/>
    </row>
    <row r="13" spans="1:5" ht="15">
      <c r="A13" s="4" t="str">
        <f>IF(B12="c","temperature (deg C):",IF(B12="f","temperature (deg F):","enter F or C for temperature units"))</f>
        <v>temperature (deg C):</v>
      </c>
      <c r="B13" s="5">
        <v>-9</v>
      </c>
      <c r="C13" s="3"/>
      <c r="E13"/>
    </row>
    <row r="14" spans="1:5" ht="12.75" customHeight="1" hidden="1">
      <c r="A14" s="4" t="s">
        <v>11</v>
      </c>
      <c r="B14" s="8"/>
      <c r="C14" s="3"/>
      <c r="E14"/>
    </row>
    <row r="15" spans="1:5" ht="12.75" customHeight="1" hidden="1">
      <c r="A15" s="4" t="s">
        <v>12</v>
      </c>
      <c r="B15" s="9">
        <v>200</v>
      </c>
      <c r="C15" s="3"/>
      <c r="E15"/>
    </row>
    <row r="16" spans="1:5" ht="12.75" customHeight="1">
      <c r="A16" s="3"/>
      <c r="B16" s="3"/>
      <c r="C16" s="3"/>
      <c r="E16"/>
    </row>
    <row r="17" spans="1:5" ht="15">
      <c r="A17" s="2" t="s">
        <v>13</v>
      </c>
      <c r="B17" s="10" t="s">
        <v>14</v>
      </c>
      <c r="C17" s="10" t="s">
        <v>15</v>
      </c>
      <c r="E17"/>
    </row>
    <row r="18" spans="1:3" ht="15">
      <c r="A18" s="4" t="s">
        <v>16</v>
      </c>
      <c r="B18" s="11">
        <f>B128</f>
        <v>140.87958444797934</v>
      </c>
      <c r="C18" s="12">
        <f>B18/B$15</f>
        <v>0.7043979222398967</v>
      </c>
    </row>
    <row r="19" spans="1:5" ht="15">
      <c r="A19" s="4" t="s">
        <v>17</v>
      </c>
      <c r="B19" s="13">
        <f>B131</f>
        <v>141.67580466285352</v>
      </c>
      <c r="C19" s="12">
        <f>B19/B$15</f>
        <v>0.7083790233142676</v>
      </c>
      <c r="E19"/>
    </row>
    <row r="20" spans="1:5" ht="15">
      <c r="A20" s="4" t="s">
        <v>18</v>
      </c>
      <c r="B20" s="14">
        <f>B123</f>
        <v>138.75518786944343</v>
      </c>
      <c r="C20" s="12">
        <f>B20/B$15</f>
        <v>0.6937759393472172</v>
      </c>
      <c r="E20"/>
    </row>
    <row r="21" spans="1:5" ht="15">
      <c r="A21" s="4" t="s">
        <v>19</v>
      </c>
      <c r="B21" s="13">
        <f>B134</f>
        <v>136.0080539411573</v>
      </c>
      <c r="C21" s="12">
        <f>B21/B$15</f>
        <v>0.6800402697057865</v>
      </c>
      <c r="E21"/>
    </row>
    <row r="22" ht="12.75" customHeight="1">
      <c r="E22"/>
    </row>
    <row r="23" ht="12.75" customHeight="1" hidden="1"/>
    <row r="24" spans="1:33" ht="12.75" customHeight="1" hidden="1">
      <c r="A24"/>
      <c r="B24"/>
      <c r="C24"/>
      <c r="D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ht="12.75" customHeight="1" hidden="1">
      <c r="A25" s="2" t="s">
        <v>20</v>
      </c>
    </row>
    <row r="26" spans="1:6" ht="12.75" customHeight="1" hidden="1">
      <c r="A26" t="s">
        <v>21</v>
      </c>
      <c r="F26" t="s">
        <v>22</v>
      </c>
    </row>
    <row r="27" spans="1:10" ht="12.75" customHeight="1" hidden="1">
      <c r="A27" t="s">
        <v>23</v>
      </c>
      <c r="B27" t="s">
        <v>24</v>
      </c>
      <c r="C27" t="s">
        <v>25</v>
      </c>
      <c r="F27" t="s">
        <v>23</v>
      </c>
      <c r="G27" t="s">
        <v>26</v>
      </c>
      <c r="H27" t="s">
        <v>27</v>
      </c>
      <c r="I27" t="s">
        <v>28</v>
      </c>
      <c r="J27" t="s">
        <v>29</v>
      </c>
    </row>
    <row r="28" spans="1:10" ht="12.75" customHeight="1" hidden="1">
      <c r="A28">
        <v>2700</v>
      </c>
      <c r="B28">
        <v>17</v>
      </c>
      <c r="C28">
        <v>99.5</v>
      </c>
      <c r="F28" s="15">
        <f>A46</f>
        <v>1800</v>
      </c>
      <c r="G28" s="15">
        <f>B46</f>
        <v>17</v>
      </c>
      <c r="H28" s="15">
        <f>C46</f>
        <v>54</v>
      </c>
      <c r="I28" s="15">
        <f>B47</f>
        <v>25</v>
      </c>
      <c r="J28" s="15">
        <f>C47</f>
        <v>97.8</v>
      </c>
    </row>
    <row r="29" spans="1:10" ht="12.75" customHeight="1" hidden="1">
      <c r="A29">
        <v>2700</v>
      </c>
      <c r="B29">
        <v>28.6</v>
      </c>
      <c r="C29">
        <v>200</v>
      </c>
      <c r="F29" s="15">
        <f>A44</f>
        <v>1900</v>
      </c>
      <c r="G29" s="15">
        <f>B44</f>
        <v>17</v>
      </c>
      <c r="H29" s="15">
        <f>C44</f>
        <v>61</v>
      </c>
      <c r="I29" s="15">
        <f>B45</f>
        <v>25.55</v>
      </c>
      <c r="J29" s="15">
        <f>C45</f>
        <v>109.5</v>
      </c>
    </row>
    <row r="30" spans="1:10" ht="12.75" customHeight="1" hidden="1">
      <c r="A30">
        <v>2600</v>
      </c>
      <c r="B30">
        <v>17</v>
      </c>
      <c r="C30">
        <v>94.1</v>
      </c>
      <c r="F30" s="15">
        <f>A42</f>
        <v>2000</v>
      </c>
      <c r="G30" s="15">
        <f>B42</f>
        <v>17</v>
      </c>
      <c r="H30" s="15">
        <f>C42</f>
        <v>67</v>
      </c>
      <c r="I30" s="15">
        <f>B43</f>
        <v>26.15</v>
      </c>
      <c r="J30" s="15">
        <f>C43</f>
        <v>121.8</v>
      </c>
    </row>
    <row r="31" spans="1:10" ht="12.75" customHeight="1" hidden="1">
      <c r="A31">
        <v>2600</v>
      </c>
      <c r="B31">
        <v>28.65</v>
      </c>
      <c r="C31">
        <v>193</v>
      </c>
      <c r="F31" s="15">
        <f>A40</f>
        <v>2100</v>
      </c>
      <c r="G31" s="15">
        <f>B40</f>
        <v>17</v>
      </c>
      <c r="H31" s="15">
        <f>C40</f>
        <v>72</v>
      </c>
      <c r="I31" s="15">
        <f>B41</f>
        <v>26.88</v>
      </c>
      <c r="J31" s="15">
        <f>C41</f>
        <v>136</v>
      </c>
    </row>
    <row r="32" spans="1:10" ht="12.75" customHeight="1" hidden="1">
      <c r="A32">
        <v>2500</v>
      </c>
      <c r="B32">
        <v>17</v>
      </c>
      <c r="C32">
        <v>90</v>
      </c>
      <c r="F32" s="15">
        <f>A38</f>
        <v>2200</v>
      </c>
      <c r="G32" s="15">
        <f>B38</f>
        <v>17</v>
      </c>
      <c r="H32" s="15">
        <f>C38</f>
        <v>76</v>
      </c>
      <c r="I32" s="15">
        <f>B39</f>
        <v>27.3</v>
      </c>
      <c r="J32" s="15">
        <f>C39</f>
        <v>145.75</v>
      </c>
    </row>
    <row r="33" spans="1:10" ht="12.75" customHeight="1" hidden="1">
      <c r="A33">
        <v>2500</v>
      </c>
      <c r="B33">
        <v>28.7</v>
      </c>
      <c r="C33">
        <v>184</v>
      </c>
      <c r="F33" s="15">
        <f>A36</f>
        <v>2300</v>
      </c>
      <c r="G33" s="15">
        <f>B36</f>
        <v>17</v>
      </c>
      <c r="H33" s="15">
        <f>C36</f>
        <v>81</v>
      </c>
      <c r="I33" s="15">
        <f>B37</f>
        <v>28.1</v>
      </c>
      <c r="J33" s="15">
        <f>C37</f>
        <v>162</v>
      </c>
    </row>
    <row r="34" spans="1:10" ht="12.75" customHeight="1" hidden="1">
      <c r="A34">
        <v>2400</v>
      </c>
      <c r="B34">
        <v>17</v>
      </c>
      <c r="C34">
        <v>85</v>
      </c>
      <c r="F34" s="15">
        <f>A34</f>
        <v>2400</v>
      </c>
      <c r="G34" s="15">
        <f>B34</f>
        <v>17</v>
      </c>
      <c r="H34" s="15">
        <f>C34</f>
        <v>85</v>
      </c>
      <c r="I34" s="15">
        <f>B35</f>
        <v>28.75</v>
      </c>
      <c r="J34" s="15">
        <f>C35</f>
        <v>176</v>
      </c>
    </row>
    <row r="35" spans="1:10" ht="12.75" customHeight="1" hidden="1">
      <c r="A35">
        <v>2400</v>
      </c>
      <c r="B35">
        <v>28.75</v>
      </c>
      <c r="C35">
        <v>176</v>
      </c>
      <c r="F35" s="15">
        <f>A32</f>
        <v>2500</v>
      </c>
      <c r="G35" s="15">
        <f>B32</f>
        <v>17</v>
      </c>
      <c r="H35" s="15">
        <f>C32</f>
        <v>90</v>
      </c>
      <c r="I35" s="15">
        <f>B33</f>
        <v>28.7</v>
      </c>
      <c r="J35" s="15">
        <f>C33</f>
        <v>184</v>
      </c>
    </row>
    <row r="36" spans="1:10" ht="12.75" customHeight="1" hidden="1">
      <c r="A36">
        <v>2300</v>
      </c>
      <c r="B36">
        <v>17</v>
      </c>
      <c r="C36">
        <v>81</v>
      </c>
      <c r="F36" s="15">
        <f>A30</f>
        <v>2600</v>
      </c>
      <c r="G36" s="15">
        <f>B30</f>
        <v>17</v>
      </c>
      <c r="H36" s="15">
        <f>C30</f>
        <v>94.1</v>
      </c>
      <c r="I36" s="15">
        <f>B31</f>
        <v>28.65</v>
      </c>
      <c r="J36" s="15">
        <f>C31</f>
        <v>193</v>
      </c>
    </row>
    <row r="37" spans="1:10" ht="12.75" customHeight="1" hidden="1">
      <c r="A37">
        <v>2300</v>
      </c>
      <c r="B37">
        <v>28.1</v>
      </c>
      <c r="C37">
        <v>162</v>
      </c>
      <c r="F37" s="15">
        <f>A28</f>
        <v>2700</v>
      </c>
      <c r="G37" s="15">
        <f>B28</f>
        <v>17</v>
      </c>
      <c r="H37" s="15">
        <f>C28</f>
        <v>99.5</v>
      </c>
      <c r="I37" s="15">
        <f>B29</f>
        <v>28.6</v>
      </c>
      <c r="J37" s="15">
        <f>C29</f>
        <v>200</v>
      </c>
    </row>
    <row r="38" spans="1:10" ht="12.75" customHeight="1" hidden="1">
      <c r="A38">
        <v>2200</v>
      </c>
      <c r="B38">
        <v>17</v>
      </c>
      <c r="C38">
        <v>76</v>
      </c>
      <c r="F38" s="15">
        <f>F37</f>
        <v>2700</v>
      </c>
      <c r="G38" s="15">
        <f>G37</f>
        <v>17</v>
      </c>
      <c r="H38" s="15">
        <f>H37</f>
        <v>99.5</v>
      </c>
      <c r="I38" s="15">
        <f>I37</f>
        <v>28.6</v>
      </c>
      <c r="J38" s="15">
        <f>J37</f>
        <v>200</v>
      </c>
    </row>
    <row r="39" spans="1:3" ht="12.75" customHeight="1" hidden="1">
      <c r="A39">
        <v>2200</v>
      </c>
      <c r="B39">
        <v>27.3</v>
      </c>
      <c r="C39">
        <v>145.75</v>
      </c>
    </row>
    <row r="40" spans="1:3" ht="12.75" customHeight="1" hidden="1">
      <c r="A40">
        <v>2100</v>
      </c>
      <c r="B40">
        <v>17</v>
      </c>
      <c r="C40">
        <v>72</v>
      </c>
    </row>
    <row r="41" spans="1:3" ht="12.75" customHeight="1" hidden="1">
      <c r="A41">
        <v>2100</v>
      </c>
      <c r="B41">
        <v>26.88</v>
      </c>
      <c r="C41">
        <v>136</v>
      </c>
    </row>
    <row r="42" spans="1:3" ht="12.75" customHeight="1" hidden="1">
      <c r="A42">
        <v>2000</v>
      </c>
      <c r="B42">
        <v>17</v>
      </c>
      <c r="C42">
        <v>67</v>
      </c>
    </row>
    <row r="43" spans="1:3" ht="12.75" customHeight="1" hidden="1">
      <c r="A43">
        <v>2000</v>
      </c>
      <c r="B43">
        <v>26.15</v>
      </c>
      <c r="C43">
        <v>121.8</v>
      </c>
    </row>
    <row r="44" spans="1:3" ht="12.75" customHeight="1" hidden="1">
      <c r="A44">
        <v>1900</v>
      </c>
      <c r="B44">
        <v>17</v>
      </c>
      <c r="C44">
        <v>61</v>
      </c>
    </row>
    <row r="45" spans="1:3" ht="12.75" customHeight="1" hidden="1">
      <c r="A45">
        <v>1900</v>
      </c>
      <c r="B45">
        <v>25.55</v>
      </c>
      <c r="C45">
        <v>109.5</v>
      </c>
    </row>
    <row r="46" spans="1:3" ht="12.75" customHeight="1" hidden="1">
      <c r="A46">
        <v>1800</v>
      </c>
      <c r="B46">
        <v>17</v>
      </c>
      <c r="C46">
        <v>54</v>
      </c>
    </row>
    <row r="47" spans="1:3" ht="12.75" customHeight="1" hidden="1">
      <c r="A47">
        <v>1800</v>
      </c>
      <c r="B47">
        <v>25</v>
      </c>
      <c r="C47">
        <v>97.8</v>
      </c>
    </row>
    <row r="48" ht="12.75" customHeight="1" hidden="1"/>
    <row r="49" ht="12.75" customHeight="1" hidden="1"/>
    <row r="50" ht="12.75" customHeight="1" hidden="1">
      <c r="A50" t="s">
        <v>30</v>
      </c>
    </row>
    <row r="51" spans="1:18" ht="12.75" customHeight="1" hidden="1">
      <c r="A51" t="s">
        <v>31</v>
      </c>
      <c r="G51" t="s">
        <v>32</v>
      </c>
      <c r="R51" t="s">
        <v>33</v>
      </c>
    </row>
    <row r="52" spans="1:31" ht="12.75" customHeight="1" hidden="1">
      <c r="A52" t="s">
        <v>34</v>
      </c>
      <c r="B52" t="s">
        <v>35</v>
      </c>
      <c r="C52" t="s">
        <v>36</v>
      </c>
      <c r="D52" t="s">
        <v>37</v>
      </c>
      <c r="E52" t="s">
        <v>38</v>
      </c>
      <c r="G52">
        <v>12</v>
      </c>
      <c r="H52">
        <v>14</v>
      </c>
      <c r="I52">
        <v>16</v>
      </c>
      <c r="J52">
        <v>18</v>
      </c>
      <c r="K52">
        <v>20</v>
      </c>
      <c r="L52">
        <v>22</v>
      </c>
      <c r="M52">
        <v>24</v>
      </c>
      <c r="N52">
        <v>26</v>
      </c>
      <c r="O52">
        <v>28</v>
      </c>
      <c r="P52">
        <v>30</v>
      </c>
      <c r="U52" t="s">
        <v>23</v>
      </c>
      <c r="V52" s="15">
        <f>G52</f>
        <v>12</v>
      </c>
      <c r="W52" s="15">
        <f>H52</f>
        <v>14</v>
      </c>
      <c r="X52" s="15">
        <f>I52</f>
        <v>16</v>
      </c>
      <c r="Y52" s="15">
        <f>J52</f>
        <v>18</v>
      </c>
      <c r="Z52" s="15">
        <f>K52</f>
        <v>20</v>
      </c>
      <c r="AA52" s="15">
        <f>L52</f>
        <v>22</v>
      </c>
      <c r="AB52" s="15">
        <f>M52</f>
        <v>24</v>
      </c>
      <c r="AC52" s="15">
        <f>N52</f>
        <v>26</v>
      </c>
      <c r="AD52" s="15">
        <f>O52</f>
        <v>28</v>
      </c>
      <c r="AE52" s="15">
        <f>P52</f>
        <v>30</v>
      </c>
    </row>
    <row r="53" spans="1:31" ht="12.75" customHeight="1" hidden="1">
      <c r="A53">
        <v>1800</v>
      </c>
      <c r="B53">
        <v>120.2</v>
      </c>
      <c r="C53">
        <v>23000</v>
      </c>
      <c r="D53" s="15">
        <f>(1-C53*6.87535*10^-6)^4.2561</f>
        <v>0.4806497176197829</v>
      </c>
      <c r="E53" s="1">
        <v>46</v>
      </c>
      <c r="F53" s="15">
        <f>A53</f>
        <v>1800</v>
      </c>
      <c r="G53">
        <v>22200</v>
      </c>
      <c r="H53">
        <v>18600</v>
      </c>
      <c r="I53">
        <v>15400</v>
      </c>
      <c r="J53">
        <v>12500</v>
      </c>
      <c r="K53">
        <v>9850</v>
      </c>
      <c r="L53" s="16">
        <v>7400</v>
      </c>
      <c r="M53">
        <v>5200</v>
      </c>
      <c r="N53">
        <v>3050</v>
      </c>
      <c r="O53">
        <v>1050</v>
      </c>
      <c r="P53">
        <v>-850</v>
      </c>
      <c r="U53" s="15">
        <f>A53</f>
        <v>1800</v>
      </c>
      <c r="V53" s="15">
        <f>(1-G53*0.00000687535)^4.2561</f>
        <v>0.494157978665659</v>
      </c>
      <c r="W53" s="15">
        <f>(1-H53*0.00000687535)^4.2561</f>
        <v>0.5585774007068781</v>
      </c>
      <c r="X53" s="15">
        <f>(1-I53*0.00000687535)^4.2561</f>
        <v>0.6210619153593988</v>
      </c>
      <c r="Y53" s="15">
        <f>(1-J53*0.00000687535)^4.2561</f>
        <v>0.6821826146931484</v>
      </c>
      <c r="Z53" s="15">
        <f>(1-K53*0.00000687535)^4.2561</f>
        <v>0.7419624690835999</v>
      </c>
      <c r="AA53" s="15">
        <f>(1-L53*0.00000687535)^4.2561</f>
        <v>0.800720843256816</v>
      </c>
      <c r="AB53" s="15">
        <f>(1-M53*0.00000687535)^4.2561</f>
        <v>0.8564579993918366</v>
      </c>
      <c r="AC53" s="15">
        <f>(1-N53*0.00000687535)^4.2561</f>
        <v>0.9137495998254916</v>
      </c>
      <c r="AD53" s="15">
        <f>(1-O53*0.00000687535)^4.2561</f>
        <v>0.9696338748161364</v>
      </c>
      <c r="AE53" s="15">
        <f>(1-P53*0.00000687535)^4.2561</f>
        <v>1.025110542820272</v>
      </c>
    </row>
    <row r="54" spans="1:31" ht="12.75" customHeight="1" hidden="1">
      <c r="A54">
        <v>1900</v>
      </c>
      <c r="B54">
        <v>130</v>
      </c>
      <c r="C54">
        <v>23000</v>
      </c>
      <c r="D54" s="15">
        <f>(1-C54*6.87535*10^-6)^4.2561</f>
        <v>0.4806497176197829</v>
      </c>
      <c r="E54" s="1">
        <v>51.5</v>
      </c>
      <c r="F54" s="15">
        <f>A54</f>
        <v>1900</v>
      </c>
      <c r="G54">
        <v>22156</v>
      </c>
      <c r="H54">
        <v>18556</v>
      </c>
      <c r="I54">
        <v>15356</v>
      </c>
      <c r="J54">
        <v>12461</v>
      </c>
      <c r="K54">
        <v>9811</v>
      </c>
      <c r="L54" s="16">
        <v>7361</v>
      </c>
      <c r="M54">
        <v>5144</v>
      </c>
      <c r="N54">
        <v>3000</v>
      </c>
      <c r="O54">
        <v>1000</v>
      </c>
      <c r="P54">
        <v>-900</v>
      </c>
      <c r="U54" s="15">
        <f>A54</f>
        <v>1900</v>
      </c>
      <c r="V54" s="15">
        <f>(1-G54*0.00000687535)^4.2561</f>
        <v>0.4949092656681112</v>
      </c>
      <c r="W54" s="15">
        <f>(1-H54*0.00000687535)^4.2561</f>
        <v>0.5594025118099176</v>
      </c>
      <c r="X54" s="15">
        <f>(1-I54*0.00000687535)^4.2561</f>
        <v>0.6219567397395618</v>
      </c>
      <c r="Y54" s="15">
        <f>(1-J54*0.00000687535)^4.2561</f>
        <v>0.6830347439682682</v>
      </c>
      <c r="Z54" s="15">
        <f>(1-K54*0.00000687535)^4.2561</f>
        <v>0.7428711495506529</v>
      </c>
      <c r="AA54" s="15">
        <f>(1-L54*0.00000687535)^4.2561</f>
        <v>0.8016840730241732</v>
      </c>
      <c r="AB54" s="15">
        <f>(1-M54*0.00000687535)^4.2561</f>
        <v>0.857914444831615</v>
      </c>
      <c r="AC54" s="15">
        <f>(1-N54*0.00000687535)^4.2561</f>
        <v>0.9151159311364798</v>
      </c>
      <c r="AD54" s="15">
        <f>(1-O54*0.00000687535)^4.2561</f>
        <v>0.9710636766087742</v>
      </c>
      <c r="AE54" s="15">
        <f>(1-P54*0.00000687535)^4.2561</f>
        <v>1.0266025067848719</v>
      </c>
    </row>
    <row r="55" spans="1:31" ht="12.75" customHeight="1" hidden="1">
      <c r="A55">
        <v>2000</v>
      </c>
      <c r="B55">
        <v>138.8</v>
      </c>
      <c r="C55">
        <v>23000</v>
      </c>
      <c r="D55" s="15">
        <f>(1-C55*6.87535*10^-6)^4.2561</f>
        <v>0.4806497176197829</v>
      </c>
      <c r="E55" s="1">
        <v>56</v>
      </c>
      <c r="F55" s="15">
        <f>A55</f>
        <v>2000</v>
      </c>
      <c r="G55">
        <v>22111</v>
      </c>
      <c r="H55">
        <v>18511</v>
      </c>
      <c r="I55">
        <v>15311</v>
      </c>
      <c r="J55">
        <v>12422</v>
      </c>
      <c r="K55">
        <v>9772</v>
      </c>
      <c r="L55" s="16">
        <v>7322</v>
      </c>
      <c r="M55">
        <v>5089</v>
      </c>
      <c r="N55">
        <v>2950</v>
      </c>
      <c r="O55">
        <v>950</v>
      </c>
      <c r="P55">
        <v>-950</v>
      </c>
      <c r="U55" s="15">
        <f>A55</f>
        <v>2000</v>
      </c>
      <c r="V55" s="15">
        <f>(1-G55*0.00000687535)^4.2561</f>
        <v>0.4956785309135073</v>
      </c>
      <c r="W55" s="15">
        <f>(1-H55*0.00000687535)^4.2561</f>
        <v>0.5602473395921805</v>
      </c>
      <c r="X55" s="15">
        <f>(1-I55*0.00000687535)^4.2561</f>
        <v>0.6228729209180742</v>
      </c>
      <c r="Y55" s="15">
        <f>(1-J55*0.00000687535)^4.2561</f>
        <v>0.6838876873266194</v>
      </c>
      <c r="Z55" s="15">
        <f>(1-K55*0.00000687535)^4.2561</f>
        <v>0.7437806811585332</v>
      </c>
      <c r="AA55" s="15">
        <f>(1-L55*0.00000687535)^4.2561</f>
        <v>0.8026481890121501</v>
      </c>
      <c r="AB55" s="15">
        <f>(1-M55*0.00000687535)^4.2561</f>
        <v>0.8593467259400877</v>
      </c>
      <c r="AC55" s="15">
        <f>(1-N55*0.00000687535)^4.2561</f>
        <v>0.9164838249409758</v>
      </c>
      <c r="AD55" s="15">
        <f>(1-O55*0.00000687535)^4.2561</f>
        <v>0.97249509082591</v>
      </c>
      <c r="AE55" s="15">
        <f>(1-P55*0.00000687535)^4.2561</f>
        <v>1.0280961314197545</v>
      </c>
    </row>
    <row r="56" spans="1:31" ht="12.75" customHeight="1" hidden="1">
      <c r="A56">
        <v>2100</v>
      </c>
      <c r="B56">
        <v>151</v>
      </c>
      <c r="C56">
        <v>23000</v>
      </c>
      <c r="D56" s="15">
        <f>(1-C56*6.87535*10^-6)^4.2561</f>
        <v>0.4806497176197829</v>
      </c>
      <c r="E56" s="1">
        <v>59.9</v>
      </c>
      <c r="F56" s="15">
        <f>A56</f>
        <v>2100</v>
      </c>
      <c r="G56">
        <v>22067</v>
      </c>
      <c r="H56">
        <v>18467</v>
      </c>
      <c r="I56">
        <v>15267</v>
      </c>
      <c r="J56">
        <v>12383</v>
      </c>
      <c r="K56">
        <v>9733</v>
      </c>
      <c r="L56" s="16">
        <v>7283</v>
      </c>
      <c r="M56">
        <v>5033</v>
      </c>
      <c r="N56">
        <v>2900</v>
      </c>
      <c r="O56">
        <v>900</v>
      </c>
      <c r="P56">
        <v>-1000</v>
      </c>
      <c r="U56" s="15">
        <f>A56</f>
        <v>2100</v>
      </c>
      <c r="V56" s="15">
        <f>(1-G56*0.00000687535)^4.2561</f>
        <v>0.49643158555225514</v>
      </c>
      <c r="W56" s="15">
        <f>(1-H56*0.00000687535)^4.2561</f>
        <v>0.5610743368954882</v>
      </c>
      <c r="X56" s="15">
        <f>(1-I56*0.00000687535)^4.2561</f>
        <v>0.6237697404983177</v>
      </c>
      <c r="Y56" s="15">
        <f>(1-J56*0.00000687535)^4.2561</f>
        <v>0.6847414453069252</v>
      </c>
      <c r="Z56" s="15">
        <f>(1-K56*0.00000687535)^4.2561</f>
        <v>0.7446910644594804</v>
      </c>
      <c r="AA56" s="15">
        <f>(1-L56*0.00000687535)^4.2561</f>
        <v>0.8036131917855431</v>
      </c>
      <c r="AB56" s="15">
        <f>(1-M56*0.00000687535)^4.2561</f>
        <v>0.8608069273473645</v>
      </c>
      <c r="AC56" s="15">
        <f>(1-N56*0.00000687535)^4.2561</f>
        <v>0.9178532824766034</v>
      </c>
      <c r="AD56" s="15">
        <f>(1-O56*0.00000687535)^4.2561</f>
        <v>0.9739281187270296</v>
      </c>
      <c r="AE56" s="15">
        <f>(1-P56*0.00000687535)^4.2561</f>
        <v>1.0295914180052472</v>
      </c>
    </row>
    <row r="57" spans="1:31" ht="12.75" customHeight="1" hidden="1">
      <c r="A57">
        <v>2200</v>
      </c>
      <c r="B57">
        <v>158</v>
      </c>
      <c r="C57">
        <v>23000</v>
      </c>
      <c r="D57" s="15">
        <f>(1-C57*6.87535*10^-6)^4.2561</f>
        <v>0.4806497176197829</v>
      </c>
      <c r="E57" s="1">
        <v>63.8</v>
      </c>
      <c r="F57" s="15">
        <f>A57</f>
        <v>2200</v>
      </c>
      <c r="G57">
        <v>22022</v>
      </c>
      <c r="H57">
        <v>18422</v>
      </c>
      <c r="I57">
        <v>15222</v>
      </c>
      <c r="J57">
        <v>12344</v>
      </c>
      <c r="K57">
        <v>9694</v>
      </c>
      <c r="L57" s="16">
        <v>7244</v>
      </c>
      <c r="M57">
        <v>4978</v>
      </c>
      <c r="N57">
        <v>2850</v>
      </c>
      <c r="O57">
        <v>850</v>
      </c>
      <c r="P57">
        <v>-1050</v>
      </c>
      <c r="U57" s="15">
        <f>A57</f>
        <v>2200</v>
      </c>
      <c r="V57" s="15">
        <f>(1-G57*0.00000687535)^4.2561</f>
        <v>0.4972026600796714</v>
      </c>
      <c r="W57" s="15">
        <f>(1-H57*0.00000687535)^4.2561</f>
        <v>0.5619210952725558</v>
      </c>
      <c r="X57" s="15">
        <f>(1-I57*0.00000687535)^4.2561</f>
        <v>0.624687963797203</v>
      </c>
      <c r="Y57" s="15">
        <f>(1-J57*0.00000687535)^4.2561</f>
        <v>0.6855960184481069</v>
      </c>
      <c r="Z57" s="15">
        <f>(1-K57*0.00000687535)^4.2561</f>
        <v>0.7456023000059327</v>
      </c>
      <c r="AA57" s="15">
        <f>(1-L57*0.00000687535)^4.2561</f>
        <v>0.8045790819093488</v>
      </c>
      <c r="AB57" s="15">
        <f>(1-M57*0.00000687535)^4.2561</f>
        <v>0.8622429006448133</v>
      </c>
      <c r="AC57" s="15">
        <f>(1-N57*0.00000687535)^4.2561</f>
        <v>0.9192243049815317</v>
      </c>
      <c r="AD57" s="15">
        <f>(1-O57*0.00000687535)^4.2561</f>
        <v>0.9753627615721661</v>
      </c>
      <c r="AE57" s="15">
        <f>(1-P57*0.00000687535)^4.2561</f>
        <v>1.0310883678222256</v>
      </c>
    </row>
    <row r="58" spans="1:31" ht="12.75" customHeight="1" hidden="1">
      <c r="A58">
        <v>2300</v>
      </c>
      <c r="B58">
        <v>168</v>
      </c>
      <c r="C58">
        <v>23000</v>
      </c>
      <c r="D58" s="15">
        <f>(1-C58*6.87535*10^-6)^4.2561</f>
        <v>0.4806497176197829</v>
      </c>
      <c r="E58">
        <v>66.2</v>
      </c>
      <c r="F58" s="15">
        <f>A58</f>
        <v>2300</v>
      </c>
      <c r="G58">
        <v>21978</v>
      </c>
      <c r="H58">
        <v>18378</v>
      </c>
      <c r="I58">
        <v>15178</v>
      </c>
      <c r="J58">
        <v>12306</v>
      </c>
      <c r="K58">
        <v>9656</v>
      </c>
      <c r="L58" s="16">
        <v>7206</v>
      </c>
      <c r="M58">
        <v>4922</v>
      </c>
      <c r="N58">
        <v>2800</v>
      </c>
      <c r="O58">
        <v>800</v>
      </c>
      <c r="P58">
        <v>-1100</v>
      </c>
      <c r="U58" s="15">
        <f>A58</f>
        <v>2300</v>
      </c>
      <c r="V58" s="15">
        <f>(1-G58*0.00000687535)^4.2561</f>
        <v>0.49795748523427974</v>
      </c>
      <c r="W58" s="15">
        <f>(1-H58*0.00000687535)^4.2561</f>
        <v>0.5627499817616459</v>
      </c>
      <c r="X58" s="15">
        <f>(1-I58*0.00000687535)^4.2561</f>
        <v>0.625586781657866</v>
      </c>
      <c r="Y58" s="15">
        <f>(1-J58*0.00000687535)^4.2561</f>
        <v>0.6864294640480945</v>
      </c>
      <c r="Z58" s="15">
        <f>(1-K58*0.00000687535)^4.2561</f>
        <v>0.7464909908123852</v>
      </c>
      <c r="AA58" s="15">
        <f>(1-L58*0.00000687535)^4.2561</f>
        <v>0.8055210596719704</v>
      </c>
      <c r="AB58" s="15">
        <f>(1-M58*0.00000687535)^4.2561</f>
        <v>0.8637068647256315</v>
      </c>
      <c r="AC58" s="15">
        <f>(1-N58*0.00000687535)^4.2561</f>
        <v>0.9205968936944756</v>
      </c>
      <c r="AD58" s="15">
        <f>(1-O58*0.00000687535)^4.2561</f>
        <v>0.9767990206219003</v>
      </c>
      <c r="AE58" s="15">
        <f>(1-P58*0.00000687535)^4.2561</f>
        <v>1.0325869821521148</v>
      </c>
    </row>
    <row r="59" spans="1:31" ht="12.75" customHeight="1" hidden="1">
      <c r="A59">
        <v>2400</v>
      </c>
      <c r="B59" s="15">
        <f>J34</f>
        <v>176</v>
      </c>
      <c r="C59">
        <v>23000</v>
      </c>
      <c r="D59" s="15">
        <f>(1-C59*6.87535*10^-6)^4.2561</f>
        <v>0.4806497176197829</v>
      </c>
      <c r="E59">
        <v>70.6</v>
      </c>
      <c r="F59" s="15">
        <f>A59</f>
        <v>2400</v>
      </c>
      <c r="G59">
        <v>21933</v>
      </c>
      <c r="H59">
        <v>18333</v>
      </c>
      <c r="I59">
        <v>15133</v>
      </c>
      <c r="J59">
        <v>12267</v>
      </c>
      <c r="K59">
        <v>9617</v>
      </c>
      <c r="L59" s="16">
        <v>7167</v>
      </c>
      <c r="M59">
        <v>4867</v>
      </c>
      <c r="N59">
        <v>2750</v>
      </c>
      <c r="O59">
        <v>750</v>
      </c>
      <c r="P59">
        <v>-1150</v>
      </c>
      <c r="U59" s="15">
        <f>A59</f>
        <v>2400</v>
      </c>
      <c r="V59" s="15">
        <f>(1-G59*0.00000687535)^4.2561</f>
        <v>0.49873037199006076</v>
      </c>
      <c r="W59" s="15">
        <f>(1-H59*0.00000687535)^4.2561</f>
        <v>0.5635986737882289</v>
      </c>
      <c r="X59" s="15">
        <f>(1-I59*0.00000687535)^4.2561</f>
        <v>0.6265070502288245</v>
      </c>
      <c r="Y59" s="15">
        <f>(1-J59*0.00000687535)^4.2561</f>
        <v>0.6872856481926329</v>
      </c>
      <c r="Z59" s="15">
        <f>(1-K59*0.00000687535)^4.2561</f>
        <v>0.7474039106202605</v>
      </c>
      <c r="AA59" s="15">
        <f>(1-L59*0.00000687535)^4.2561</f>
        <v>0.806488703403764</v>
      </c>
      <c r="AB59" s="15">
        <f>(1-M59*0.00000687535)^4.2561</f>
        <v>0.8651465368016197</v>
      </c>
      <c r="AC59" s="15">
        <f>(1-N59*0.00000687535)^4.2561</f>
        <v>0.9219710498546955</v>
      </c>
      <c r="AD59" s="15">
        <f>(1-O59*0.00000687535)^4.2561</f>
        <v>0.9782368971373604</v>
      </c>
      <c r="AE59" s="15">
        <f>(1-P59*0.00000687535)^4.2561</f>
        <v>1.0340872622768895</v>
      </c>
    </row>
    <row r="60" spans="1:31" ht="12.75" customHeight="1" hidden="1">
      <c r="A60">
        <v>2500</v>
      </c>
      <c r="B60" s="15">
        <f>J35</f>
        <v>184</v>
      </c>
      <c r="C60">
        <v>23000</v>
      </c>
      <c r="D60" s="15">
        <f>(1-C60*6.87535*10^-6)^4.2561</f>
        <v>0.4806497176197829</v>
      </c>
      <c r="E60">
        <v>76</v>
      </c>
      <c r="F60" s="15">
        <f>A60</f>
        <v>2500</v>
      </c>
      <c r="G60">
        <v>21889</v>
      </c>
      <c r="H60">
        <v>18289</v>
      </c>
      <c r="I60">
        <v>15089</v>
      </c>
      <c r="J60">
        <v>12228</v>
      </c>
      <c r="K60">
        <v>9578</v>
      </c>
      <c r="L60" s="16">
        <v>7128</v>
      </c>
      <c r="M60">
        <v>4811</v>
      </c>
      <c r="N60">
        <v>2700</v>
      </c>
      <c r="O60">
        <v>700</v>
      </c>
      <c r="P60">
        <v>-1200</v>
      </c>
      <c r="U60" s="15">
        <f>A60</f>
        <v>2500</v>
      </c>
      <c r="V60" s="15">
        <f>(1-G60*0.00000687535)^4.2561</f>
        <v>0.4994869705427053</v>
      </c>
      <c r="W60" s="15">
        <f>(1-H60*0.00000687535)^4.2561</f>
        <v>0.5644294524512438</v>
      </c>
      <c r="X60" s="15">
        <f>(1-I60*0.00000687535)^4.2561</f>
        <v>0.6274078694528913</v>
      </c>
      <c r="Y60" s="15">
        <f>(1-J60*0.00000687535)^4.2561</f>
        <v>0.6881426491021654</v>
      </c>
      <c r="Z60" s="15">
        <f>(1-K60*0.00000687535)^4.2561</f>
        <v>0.7483176843179714</v>
      </c>
      <c r="AA60" s="15">
        <f>(1-L60*0.00000687535)^4.2561</f>
        <v>0.8074572361676565</v>
      </c>
      <c r="AB60" s="15">
        <f>(1-M60*0.00000687535)^4.2561</f>
        <v>0.8666142702686823</v>
      </c>
      <c r="AC60" s="15">
        <f>(1-N60*0.00000687535)^4.2561</f>
        <v>0.923346774701998</v>
      </c>
      <c r="AD60" s="15">
        <f>(1-O60*0.00000687535)^4.2561</f>
        <v>0.979676392380223</v>
      </c>
      <c r="AE60" s="15">
        <f>(1-P60*0.00000687535)^4.2561</f>
        <v>1.0355892094790742</v>
      </c>
    </row>
    <row r="61" spans="1:31" ht="12.75" customHeight="1" hidden="1">
      <c r="A61">
        <v>2600</v>
      </c>
      <c r="B61" s="15">
        <f>J36</f>
        <v>193</v>
      </c>
      <c r="C61">
        <v>23000</v>
      </c>
      <c r="D61" s="15">
        <f>(1-C61*6.87535*10^-6)^4.2561</f>
        <v>0.4806497176197829</v>
      </c>
      <c r="E61">
        <v>78.6</v>
      </c>
      <c r="F61" s="15">
        <f>A61</f>
        <v>2600</v>
      </c>
      <c r="G61">
        <v>21844</v>
      </c>
      <c r="H61">
        <v>18244</v>
      </c>
      <c r="I61">
        <v>15044</v>
      </c>
      <c r="J61">
        <v>12189</v>
      </c>
      <c r="K61">
        <v>9539</v>
      </c>
      <c r="L61" s="16">
        <v>7089</v>
      </c>
      <c r="M61">
        <v>4756</v>
      </c>
      <c r="N61">
        <v>2650</v>
      </c>
      <c r="O61">
        <v>650</v>
      </c>
      <c r="P61">
        <v>-1250</v>
      </c>
      <c r="U61" s="15">
        <f>A61</f>
        <v>2600</v>
      </c>
      <c r="V61" s="15">
        <f>(1-G61*0.00000687535)^4.2561</f>
        <v>0.5002616724758647</v>
      </c>
      <c r="W61" s="15">
        <f>(1-H61*0.00000687535)^4.2561</f>
        <v>0.5652800811847419</v>
      </c>
      <c r="X61" s="15">
        <f>(1-I61*0.00000687535)^4.2561</f>
        <v>0.6283301864503283</v>
      </c>
      <c r="Y61" s="15">
        <f>(1-J61*0.00000687535)^4.2561</f>
        <v>0.6890004673164016</v>
      </c>
      <c r="Z61" s="15">
        <f>(1-K61*0.00000687535)^4.2561</f>
        <v>0.7492323124587499</v>
      </c>
      <c r="AA61" s="15">
        <f>(1-L61*0.00000687535)^4.2561</f>
        <v>0.8084266585294415</v>
      </c>
      <c r="AB61" s="15">
        <f>(1-M61*0.00000687535)^4.2561</f>
        <v>0.8680576477193149</v>
      </c>
      <c r="AC61" s="15">
        <f>(1-N61*0.00000687535)^4.2561</f>
        <v>0.9247240694767344</v>
      </c>
      <c r="AD61" s="15">
        <f>(1-O61*0.00000687535)^4.2561</f>
        <v>0.9811175076127109</v>
      </c>
      <c r="AE61" s="15">
        <f>(1-P61*0.00000687535)^4.2561</f>
        <v>1.0370928250417424</v>
      </c>
    </row>
    <row r="62" spans="1:31" ht="12.75" customHeight="1" hidden="1">
      <c r="A62">
        <v>2700</v>
      </c>
      <c r="B62" s="15">
        <f>J37</f>
        <v>200</v>
      </c>
      <c r="C62">
        <v>23000</v>
      </c>
      <c r="D62" s="15">
        <f>(1-C62*6.87535*10^-6)^4.2561</f>
        <v>0.4806497176197829</v>
      </c>
      <c r="E62">
        <v>81.8</v>
      </c>
      <c r="F62" s="15">
        <f>A62</f>
        <v>2700</v>
      </c>
      <c r="G62">
        <v>21800</v>
      </c>
      <c r="H62">
        <v>18200</v>
      </c>
      <c r="I62">
        <v>15000</v>
      </c>
      <c r="J62">
        <v>12150</v>
      </c>
      <c r="K62">
        <v>9500</v>
      </c>
      <c r="L62" s="16">
        <v>7050</v>
      </c>
      <c r="M62">
        <v>4700</v>
      </c>
      <c r="N62">
        <v>2600</v>
      </c>
      <c r="O62">
        <v>600</v>
      </c>
      <c r="P62">
        <v>-1300</v>
      </c>
      <c r="U62" s="15">
        <f>A62</f>
        <v>2700</v>
      </c>
      <c r="V62" s="15">
        <f>(1-G62*0.00000687535)^4.2561</f>
        <v>0.5010200473113308</v>
      </c>
      <c r="W62" s="15">
        <f>(1-H62*0.00000687535)^4.2561</f>
        <v>0.5661127550124545</v>
      </c>
      <c r="X62" s="15">
        <f>(1-I62*0.00000687535)^4.2561</f>
        <v>0.6292330101234309</v>
      </c>
      <c r="Y62" s="15">
        <f>(1-J62*0.00000687535)^4.2561</f>
        <v>0.6898591033752507</v>
      </c>
      <c r="Z62" s="15">
        <f>(1-K62*0.00000687535)^4.2561</f>
        <v>0.7501477955960262</v>
      </c>
      <c r="AA62" s="15">
        <f>(1-L62*0.00000687535)^4.2561</f>
        <v>0.809396971055112</v>
      </c>
      <c r="AB62" s="15">
        <f>(1-M62*0.00000687535)^4.2561</f>
        <v>0.8695291572919888</v>
      </c>
      <c r="AC62" s="15">
        <f>(1-N62*0.00000687535)^4.2561</f>
        <v>0.9261029354198027</v>
      </c>
      <c r="AD62" s="15">
        <f>(1-O62*0.00000687535)^4.2561</f>
        <v>0.9825602440975961</v>
      </c>
      <c r="AE62" s="15">
        <f>(1-P62*0.00000687535)^4.2561</f>
        <v>1.0385981102485176</v>
      </c>
    </row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spans="21:31" ht="12.75" customHeight="1" hidden="1">
      <c r="U69" s="15">
        <f>A69</f>
        <v>0</v>
      </c>
      <c r="V69" s="15">
        <f>(1-G69*6.87535*10^-6)^4.2561</f>
        <v>1</v>
      </c>
      <c r="W69" s="15">
        <f>(1-H69*6.87535*10^-6)^4.2561</f>
        <v>1</v>
      </c>
      <c r="X69" s="15">
        <f>(1-I69*6.87535*10^-6)^4.2561</f>
        <v>1</v>
      </c>
      <c r="Y69" s="15">
        <f>(1-J69*6.87535*10^-6)^4.2561</f>
        <v>1</v>
      </c>
      <c r="Z69" s="15">
        <f>(1-K69*6.87535*10^-6)^4.2561</f>
        <v>1</v>
      </c>
      <c r="AA69" s="15">
        <f>(1-L69*6.87535*10^-6)^4.2561</f>
        <v>1</v>
      </c>
      <c r="AB69" s="15">
        <f>(1-M69*6.87535*10^-6)^4.2561</f>
        <v>1</v>
      </c>
      <c r="AC69" s="15">
        <f>(1-N69*6.87535*10^-6)^4.2561</f>
        <v>1</v>
      </c>
      <c r="AD69" s="15">
        <f>(1-O69*6.87535*10^-6)^4.2561</f>
        <v>1</v>
      </c>
      <c r="AE69" s="15">
        <f>(1-P69*6.87535*10^-6)^4.2561</f>
        <v>1</v>
      </c>
    </row>
    <row r="70" spans="21:31" ht="12.75" customHeight="1" hidden="1">
      <c r="U70" s="15">
        <f>A70</f>
        <v>0</v>
      </c>
      <c r="V70" s="15">
        <f>(1-G70*6.87535*10^-6)^4.2561</f>
        <v>1</v>
      </c>
      <c r="W70" s="15">
        <f>(1-H70*6.87535*10^-6)^4.2561</f>
        <v>1</v>
      </c>
      <c r="X70" s="15">
        <f>(1-I70*6.87535*10^-6)^4.2561</f>
        <v>1</v>
      </c>
      <c r="Y70" s="15">
        <f>(1-J70*6.87535*10^-6)^4.2561</f>
        <v>1</v>
      </c>
      <c r="Z70" s="15">
        <f>(1-K70*6.87535*10^-6)^4.2561</f>
        <v>1</v>
      </c>
      <c r="AA70" s="15">
        <f>(1-L70*6.87535*10^-6)^4.2561</f>
        <v>1</v>
      </c>
      <c r="AB70" s="15">
        <f>(1-M70*6.87535*10^-6)^4.2561</f>
        <v>1</v>
      </c>
      <c r="AC70" s="15">
        <f>(1-N70*6.87535*10^-6)^4.2561</f>
        <v>1</v>
      </c>
      <c r="AD70" s="15">
        <f>(1-O70*6.87535*10^-6)^4.2561</f>
        <v>1</v>
      </c>
      <c r="AE70" s="15">
        <f>(1-P70*6.87535*10^-6)^4.2561</f>
        <v>1</v>
      </c>
    </row>
    <row r="71" spans="21:31" ht="12.75" customHeight="1" hidden="1">
      <c r="U71" s="15">
        <f>A71</f>
        <v>0</v>
      </c>
      <c r="V71" s="15">
        <f>(1-G71*6.87535*10^-6)^4.2561</f>
        <v>1</v>
      </c>
      <c r="W71" s="15">
        <f>(1-H71*6.87535*10^-6)^4.2561</f>
        <v>1</v>
      </c>
      <c r="X71" s="15">
        <f>(1-I71*6.87535*10^-6)^4.2561</f>
        <v>1</v>
      </c>
      <c r="Y71" s="15">
        <f>(1-J71*6.87535*10^-6)^4.2561</f>
        <v>1</v>
      </c>
      <c r="Z71" s="15">
        <f>(1-K71*6.87535*10^-6)^4.2561</f>
        <v>1</v>
      </c>
      <c r="AA71" s="15">
        <f>(1-L71*6.87535*10^-6)^4.2561</f>
        <v>1</v>
      </c>
      <c r="AB71" s="15">
        <f>(1-M71*6.87535*10^-6)^4.2561</f>
        <v>1</v>
      </c>
      <c r="AC71" s="15">
        <f>(1-N71*6.87535*10^-6)^4.2561</f>
        <v>1</v>
      </c>
      <c r="AD71" s="15">
        <f>(1-O71*6.87535*10^-6)^4.2561</f>
        <v>1</v>
      </c>
      <c r="AE71" s="15">
        <f>(1-P71*6.87535*10^-6)^4.2561</f>
        <v>1</v>
      </c>
    </row>
    <row r="72" spans="21:31" ht="12.75" customHeight="1" hidden="1">
      <c r="U72" s="15">
        <f>A72</f>
        <v>0</v>
      </c>
      <c r="V72" s="15">
        <f>(1-G72*6.87535*10^-6)^4.2561</f>
        <v>1</v>
      </c>
      <c r="W72" s="15">
        <f>(1-H72*6.87535*10^-6)^4.2561</f>
        <v>1</v>
      </c>
      <c r="X72" s="15">
        <f>(1-I72*6.87535*10^-6)^4.2561</f>
        <v>1</v>
      </c>
      <c r="Y72" s="15">
        <f>(1-J72*6.87535*10^-6)^4.2561</f>
        <v>1</v>
      </c>
      <c r="Z72" s="15">
        <f>(1-K72*6.87535*10^-6)^4.2561</f>
        <v>1</v>
      </c>
      <c r="AA72" s="15">
        <f>(1-L72*6.87535*10^-6)^4.2561</f>
        <v>1</v>
      </c>
      <c r="AB72" s="15">
        <f>(1-M72*6.87535*10^-6)^4.2561</f>
        <v>1</v>
      </c>
      <c r="AC72" s="15">
        <f>(1-N72*6.87535*10^-6)^4.2561</f>
        <v>1</v>
      </c>
      <c r="AD72" s="15">
        <f>(1-O72*6.87535*10^-6)^4.2561</f>
        <v>1</v>
      </c>
      <c r="AE72" s="15">
        <f>(1-P72*6.87535*10^-6)^4.2561</f>
        <v>1</v>
      </c>
    </row>
    <row r="73" spans="21:31" ht="12.75" customHeight="1" hidden="1">
      <c r="U73" s="15">
        <f>A73</f>
        <v>0</v>
      </c>
      <c r="V73" s="15">
        <f>(1-G73*6.87535*10^-6)^4.2561</f>
        <v>1</v>
      </c>
      <c r="W73" s="15">
        <f>(1-H73*6.87535*10^-6)^4.2561</f>
        <v>1</v>
      </c>
      <c r="X73" s="15">
        <f>(1-I73*6.87535*10^-6)^4.2561</f>
        <v>1</v>
      </c>
      <c r="Y73" s="15">
        <f>(1-J73*6.87535*10^-6)^4.2561</f>
        <v>1</v>
      </c>
      <c r="Z73" s="15">
        <f>(1-K73*6.87535*10^-6)^4.2561</f>
        <v>1</v>
      </c>
      <c r="AA73" s="15">
        <f>(1-L73*6.87535*10^-6)^4.2561</f>
        <v>1</v>
      </c>
      <c r="AB73" s="15">
        <f>(1-M73*6.87535*10^-6)^4.2561</f>
        <v>1</v>
      </c>
      <c r="AC73" s="15">
        <f>(1-N73*6.87535*10^-6)^4.2561</f>
        <v>1</v>
      </c>
      <c r="AD73" s="15">
        <f>(1-O73*6.87535*10^-6)^4.2561</f>
        <v>1</v>
      </c>
      <c r="AE73" s="15">
        <f>(1-P73*6.87535*10^-6)^4.2561</f>
        <v>1</v>
      </c>
    </row>
    <row r="74" ht="12.75" customHeight="1" hidden="1"/>
    <row r="75" spans="6:31" ht="12.75" customHeight="1" hidden="1">
      <c r="F75" t="s">
        <v>39</v>
      </c>
      <c r="G75" s="15">
        <f>G52</f>
        <v>12</v>
      </c>
      <c r="H75" s="15">
        <f>H52</f>
        <v>14</v>
      </c>
      <c r="I75" s="15">
        <f>I52</f>
        <v>16</v>
      </c>
      <c r="J75" s="15">
        <f>J52</f>
        <v>18</v>
      </c>
      <c r="K75" s="15">
        <f>K52</f>
        <v>20</v>
      </c>
      <c r="L75" s="15">
        <f>L52</f>
        <v>22</v>
      </c>
      <c r="M75" s="15">
        <f>M52</f>
        <v>24</v>
      </c>
      <c r="N75" s="15">
        <f>N52</f>
        <v>26</v>
      </c>
      <c r="O75" s="15">
        <f>O52</f>
        <v>28</v>
      </c>
      <c r="P75" s="15">
        <f>P52</f>
        <v>30</v>
      </c>
      <c r="V75" s="15">
        <f>V52</f>
        <v>12</v>
      </c>
      <c r="W75" s="15">
        <f>W52</f>
        <v>14</v>
      </c>
      <c r="X75" s="15">
        <f>X52</f>
        <v>16</v>
      </c>
      <c r="Y75" s="15">
        <f>Y52</f>
        <v>18</v>
      </c>
      <c r="Z75" s="15">
        <f>Z52</f>
        <v>20</v>
      </c>
      <c r="AA75" s="15">
        <f>AA52</f>
        <v>22</v>
      </c>
      <c r="AB75" s="15">
        <f>AB52</f>
        <v>24</v>
      </c>
      <c r="AC75" s="15">
        <f>AC52</f>
        <v>26</v>
      </c>
      <c r="AD75" s="15">
        <f>AD52</f>
        <v>28</v>
      </c>
      <c r="AE75" s="15">
        <f>AE52</f>
        <v>30</v>
      </c>
    </row>
    <row r="76" spans="6:31" ht="12.75" customHeight="1" hidden="1">
      <c r="F76" s="15">
        <f>F53</f>
        <v>1800</v>
      </c>
      <c r="G76" s="15">
        <f>((29.9213*(1-G53*0.00000687535)^5.2561)-G$52)/G$52/$F76*10^5</f>
        <v>2.449277861042806</v>
      </c>
      <c r="H76" s="15">
        <f>((29.9213*(1-H53*0.00000687535)^5.2561)-H$52)/H$52/$F76*10^5</f>
        <v>2.285841319924768</v>
      </c>
      <c r="I76" s="15">
        <f>((29.9213*(1-I53*0.00000687535)^5.2561)-I$52)/I$52/$F76*10^5</f>
        <v>2.136828924079897</v>
      </c>
      <c r="J76" s="15">
        <f>((29.9213*(1-J53*0.00000687535)^5.2561)-J$52)/J$52/$F76*10^5</f>
        <v>2.0295157617752535</v>
      </c>
      <c r="K76" s="15">
        <f>((29.9213*(1-K53*0.00000687535)^5.2561)-K$52)/K$52/$F76*10^5</f>
        <v>1.9361561802974472</v>
      </c>
      <c r="L76" s="15">
        <f>((29.9213*(1-L53*0.00000687535)^5.2561)-L$52)/L$52/$F76*10^5</f>
        <v>1.8678088476781487</v>
      </c>
      <c r="M76" s="15">
        <f>((29.9213*(1-M53*0.00000687535)^5.2561)-M$52)/M$52/$F76*10^5</f>
        <v>1.6438624048960508</v>
      </c>
      <c r="N76" s="15">
        <f>((29.9213*(1-N53*0.00000687535)^5.2561)-N$52)/N$52/$F76*10^5</f>
        <v>1.6394209706499814</v>
      </c>
      <c r="O76" s="15">
        <f>((29.9213*(1-O53*0.00000687535)^5.2561)-O$52)/O$52/$F76*10^5</f>
        <v>1.5937696914812047</v>
      </c>
      <c r="P76" s="15">
        <f>((29.9213*(1-P53*0.00000687535)^5.2561)-P$52)/P$52/$F76*10^5</f>
        <v>1.5775786120272002</v>
      </c>
      <c r="U76" t="s">
        <v>40</v>
      </c>
      <c r="V76" s="15">
        <f>AVERAGE(V58:V62)</f>
        <v>0.4994913095108483</v>
      </c>
      <c r="W76" s="15">
        <f>AVERAGE(W58:W62)</f>
        <v>0.5644341888396631</v>
      </c>
      <c r="X76" s="15">
        <f>AVERAGE(X58:X62)</f>
        <v>0.6274129795826682</v>
      </c>
      <c r="Y76" s="15">
        <f>AVERAGE(Y58:Y62)</f>
        <v>0.688143466406909</v>
      </c>
      <c r="Z76" s="15">
        <f>AVERAGE(Z58:Z62)</f>
        <v>0.7483185387610786</v>
      </c>
      <c r="AA76" s="15">
        <f>AVERAGE(AA58:AA62)</f>
        <v>0.8074581257655888</v>
      </c>
      <c r="AB76" s="15">
        <f>AVERAGE(AB58:AB62)</f>
        <v>0.8666108953614474</v>
      </c>
      <c r="AC76" s="15">
        <f>AVERAGE(AC58:AC62)</f>
        <v>0.9233483446295413</v>
      </c>
      <c r="AD76" s="15">
        <f>AVERAGE(AD58:AD62)</f>
        <v>0.979678012369958</v>
      </c>
      <c r="AE76" s="15">
        <f>AVERAGE(AE58:AE62)</f>
        <v>1.0355908778396676</v>
      </c>
    </row>
    <row r="77" spans="6:22" ht="12.75" customHeight="1" hidden="1">
      <c r="F77" s="15">
        <f>F54</f>
        <v>1900</v>
      </c>
      <c r="G77" s="15">
        <f>((29.9213*(1-G54*0.00000687535)^5.2561)-G$52)/G$52/$F77*10^5</f>
        <v>2.4235620322204183</v>
      </c>
      <c r="H77" s="15">
        <f>((29.9213*(1-H54*0.00000687535)^5.2561)-H$52)/H$52/$F77*10^5</f>
        <v>2.265514052650376</v>
      </c>
      <c r="I77" s="15">
        <f>((29.9213*(1-I54*0.00000687535)^5.2561)-I$52)/I$52/$F77*10^5</f>
        <v>2.1216312560724013</v>
      </c>
      <c r="J77" s="15">
        <f>((29.9213*(1-J54*0.00000687535)^5.2561)-J$52)/J$52/$F77*10^5</f>
        <v>2.0068675585514493</v>
      </c>
      <c r="K77" s="15">
        <f>((29.9213*(1-K54*0.00000687535)^5.2561)-K$52)/K$52/$F77*10^5</f>
        <v>1.916641924262925</v>
      </c>
      <c r="L77" s="15">
        <f>((29.9213*(1-L54*0.00000687535)^5.2561)-L$52)/L$52/$F77*10^5</f>
        <v>1.8503325360849687</v>
      </c>
      <c r="M77" s="15">
        <f>((29.9213*(1-M54*0.00000687535)^5.2561)-M$52)/M$52/$F77*10^5</f>
        <v>1.6711682042542768</v>
      </c>
      <c r="N77" s="15">
        <f>((29.9213*(1-N54*0.00000687535)^5.2561)-N$52)/N$52/$F77*10^5</f>
        <v>1.6532125144382637</v>
      </c>
      <c r="O77" s="15">
        <f>((29.9213*(1-O54*0.00000687535)^5.2561)-O$52)/O$52/$F77*10^5</f>
        <v>1.6084980081455391</v>
      </c>
      <c r="P77" s="15">
        <f>((29.9213*(1-P54*0.00000687535)^5.2561)-P$52)/P$52/$F77*10^5</f>
        <v>1.5918498982822613</v>
      </c>
      <c r="T77" t="s">
        <v>41</v>
      </c>
      <c r="U77" s="15" t="e">
        <f>NA()</f>
        <v>#N/A</v>
      </c>
      <c r="V77" s="15" t="e">
        <f>U77*V75+U78</f>
        <v>#N/A</v>
      </c>
    </row>
    <row r="78" spans="6:21" ht="12.75" customHeight="1" hidden="1">
      <c r="F78" s="15">
        <f>F55</f>
        <v>2000</v>
      </c>
      <c r="G78" s="15">
        <f>((29.9213*(1-G55*0.00000687535)^5.2561)-G$52)/G$52/$F78*10^5</f>
        <v>2.402799966400522</v>
      </c>
      <c r="H78" s="15">
        <f>((29.9213*(1-H55*0.00000687535)^5.2561)-H$52)/H$52/$F78*10^5</f>
        <v>2.2495232730910253</v>
      </c>
      <c r="I78" s="15">
        <f>((29.9213*(1-I55*0.00000687535)^5.2561)-I$52)/I$52/$F78*10^5</f>
        <v>2.110191123952676</v>
      </c>
      <c r="J78" s="15">
        <f>((29.9213*(1-J55*0.00000687535)^5.2561)-J$52)/J$52/$F78*10^5</f>
        <v>1.9865840407775517</v>
      </c>
      <c r="K78" s="15">
        <f>((29.9213*(1-K55*0.00000687535)^5.2561)-K$52)/K$52/$F78*10^5</f>
        <v>1.899174936307917</v>
      </c>
      <c r="L78" s="15">
        <f>((29.9213*(1-L55*0.00000687535)^5.2561)-L$52)/L$52/$F78*10^5</f>
        <v>1.8346962149089727</v>
      </c>
      <c r="M78" s="15">
        <f>((29.9213*(1-M55*0.00000687535)^5.2561)-M$52)/M$52/$F78*10^5</f>
        <v>1.6939914187710903</v>
      </c>
      <c r="N78" s="15">
        <f>((29.9213*(1-N55*0.00000687535)^5.2561)-N$52)/N$52/$F78*10^5</f>
        <v>1.6657670417133659</v>
      </c>
      <c r="O78" s="15">
        <f>((29.9213*(1-O55*0.00000687535)^5.2561)-O$52)/O$52/$F78*10^5</f>
        <v>1.6218916083462518</v>
      </c>
      <c r="P78" s="15">
        <f>((29.9213*(1-P55*0.00000687535)^5.2561)-P$52)/P$52/$F78*10^5</f>
        <v>1.6048285668432587</v>
      </c>
      <c r="T78" t="s">
        <v>42</v>
      </c>
      <c r="U78" s="15" t="e">
        <f>NA()</f>
        <v>#N/A</v>
      </c>
    </row>
    <row r="79" spans="6:16" ht="12.75" customHeight="1" hidden="1">
      <c r="F79" s="15">
        <f>F56</f>
        <v>2100</v>
      </c>
      <c r="G79" s="15">
        <f>((29.9213*(1-G56*0.00000687535)^5.2561)-G$52)/G$52/$F79*10^5</f>
        <v>2.382033737065519</v>
      </c>
      <c r="H79" s="15">
        <f>((29.9213*(1-H56*0.00000687535)^5.2561)-H$52)/H$52/$F79*10^5</f>
        <v>2.233131756432847</v>
      </c>
      <c r="I79" s="15">
        <f>((29.9213*(1-I56*0.00000687535)^5.2561)-I$52)/I$52/$F79*10^5</f>
        <v>2.0979658927223492</v>
      </c>
      <c r="J79" s="15">
        <f>((29.9213*(1-J56*0.00000687535)^5.2561)-J$52)/J$52/$F79*10^5</f>
        <v>1.9683274870962926</v>
      </c>
      <c r="K79" s="15">
        <f>((29.9213*(1-K56*0.00000687535)^5.2561)-K$52)/K$52/$F79*10^5</f>
        <v>1.8834628350502227</v>
      </c>
      <c r="L79" s="15">
        <f>((29.9213*(1-L56*0.00000687535)^5.2561)-L$52)/L$52/$F79*10^5</f>
        <v>1.8206371092936529</v>
      </c>
      <c r="M79" s="15">
        <f>((29.9213*(1-M56*0.00000687535)^5.2561)-M$52)/M$52/$F79*10^5</f>
        <v>1.716656854103978</v>
      </c>
      <c r="N79" s="15">
        <f>((29.9213*(1-N56*0.00000687535)^5.2561)-N$52)/N$52/$F79*10^5</f>
        <v>1.6772614238970387</v>
      </c>
      <c r="O79" s="15">
        <f>((29.9213*(1-O56*0.00000687535)^5.2561)-O$52)/O$52/$F79*10^5</f>
        <v>1.634141314177336</v>
      </c>
      <c r="P79" s="15">
        <f>((29.9213*(1-P56*0.00000687535)^5.2561)-P$52)/P$52/$F79*10^5</f>
        <v>1.6166994199478901</v>
      </c>
    </row>
    <row r="80" spans="6:16" ht="12.75" customHeight="1" hidden="1">
      <c r="F80" s="15">
        <f>F57</f>
        <v>2200</v>
      </c>
      <c r="G80" s="15">
        <f>((29.9213*(1-G57*0.00000687535)^5.2561)-G$52)/G$52/$F80*10^5</f>
        <v>2.365327526124011</v>
      </c>
      <c r="H80" s="15">
        <f>((29.9213*(1-H57*0.00000687535)^5.2561)-H$52)/H$52/$F80*10^5</f>
        <v>2.2203308732000577</v>
      </c>
      <c r="I80" s="15">
        <f>((29.9213*(1-I57*0.00000687535)^5.2561)-I$52)/I$52/$F80*10^5</f>
        <v>2.0888922268787216</v>
      </c>
      <c r="J80" s="15">
        <f>((29.9213*(1-J57*0.00000687535)^5.2561)-J$52)/J$52/$F80*10^5</f>
        <v>1.951821580090936</v>
      </c>
      <c r="K80" s="15">
        <f>((29.9213*(1-K57*0.00000687535)^5.2561)-K$52)/K$52/$F80*10^5</f>
        <v>1.8692663994118226</v>
      </c>
      <c r="L80" s="15">
        <f>((29.9213*(1-L57*0.00000687535)^5.2561)-L$52)/L$52/$F80*10^5</f>
        <v>1.8079402216783707</v>
      </c>
      <c r="M80" s="15">
        <f>((29.9213*(1-M57*0.00000687535)^5.2561)-M$52)/M$52/$F80*10^5</f>
        <v>1.7356635634235704</v>
      </c>
      <c r="N80" s="15">
        <f>((29.9213*(1-N57*0.00000687535)^5.2561)-N$52)/N$52/$F80*10^5</f>
        <v>1.6878403740877295</v>
      </c>
      <c r="O80" s="15">
        <f>((29.9213*(1-O57*0.00000687535)^5.2561)-O$52)/O$52/$F80*10^5</f>
        <v>1.6454032529171307</v>
      </c>
      <c r="P80" s="15">
        <f>((29.9213*(1-P57*0.00000687535)^5.2561)-P$52)/P$52/$F80*10^5</f>
        <v>1.6276136595318165</v>
      </c>
    </row>
    <row r="81" spans="6:16" ht="12.75" customHeight="1" hidden="1">
      <c r="F81" s="15">
        <f>F58</f>
        <v>2300</v>
      </c>
      <c r="G81" s="15">
        <f>((29.9213*(1-G58*0.00000687535)^5.2561)-G$52)/G$52/$F81*10^5</f>
        <v>2.3482591717024217</v>
      </c>
      <c r="H81" s="15">
        <f>((29.9213*(1-H58*0.00000687535)^5.2561)-H$52)/H$52/$F81*10^5</f>
        <v>2.2068813822161313</v>
      </c>
      <c r="I81" s="15">
        <f>((29.9213*(1-I58*0.00000687535)^5.2561)-I$52)/I$52/$F81*10^5</f>
        <v>2.0788908828381816</v>
      </c>
      <c r="J81" s="15">
        <f>((29.9213*(1-J58*0.00000687535)^5.2561)-J$52)/J$52/$F81*10^5</f>
        <v>1.9350452181256312</v>
      </c>
      <c r="K81" s="15">
        <f>((29.9213*(1-K58*0.00000687535)^5.2561)-K$52)/K$52/$F81*10^5</f>
        <v>1.8546332734119058</v>
      </c>
      <c r="L81" s="15">
        <f>((29.9213*(1-L58*0.00000687535)^5.2561)-L$52)/L$52/$F81*10^5</f>
        <v>1.7947065844379342</v>
      </c>
      <c r="M81" s="15">
        <f>((29.9213*(1-M58*0.00000687535)^5.2561)-M$52)/M$52/$F81*10^5</f>
        <v>1.7548641619230065</v>
      </c>
      <c r="N81" s="15">
        <f>((29.9213*(1-N58*0.00000687535)^5.2561)-N$52)/N$52/$F81*10^5</f>
        <v>1.6976234380004265</v>
      </c>
      <c r="O81" s="15">
        <f>((29.9213*(1-O58*0.00000687535)^5.2561)-O$52)/O$52/$F81*10^5</f>
        <v>1.6558063993796506</v>
      </c>
      <c r="P81" s="15">
        <f>((29.9213*(1-P58*0.00000687535)^5.2561)-P$52)/P$52/$F81*10^5</f>
        <v>1.6376961916422739</v>
      </c>
    </row>
    <row r="82" spans="6:16" ht="12.75" customHeight="1" hidden="1">
      <c r="F82" s="15">
        <f>F59</f>
        <v>2400</v>
      </c>
      <c r="G82" s="15">
        <f>((29.9213*(1-G59*0.00000687535)^5.2561)-G$52)/G$52/$F82*10^5</f>
        <v>2.334610372808305</v>
      </c>
      <c r="H82" s="15">
        <f>((29.9213*(1-H59*0.00000687535)^5.2561)-H$52)/H$52/$F82*10^5</f>
        <v>2.1964838025529794</v>
      </c>
      <c r="I82" s="15">
        <f>((29.9213*(1-I59*0.00000687535)^5.2561)-I$52)/I$52/$F82*10^5</f>
        <v>2.0715985196667805</v>
      </c>
      <c r="J82" s="15">
        <f>((29.9213*(1-J59*0.00000687535)^5.2561)-J$52)/J$52/$F82*10^5</f>
        <v>1.9214664203588498</v>
      </c>
      <c r="K82" s="15">
        <f>((29.9213*(1-K59*0.00000687535)^5.2561)-K$52)/K$52/$F82*10^5</f>
        <v>1.8429793107800057</v>
      </c>
      <c r="L82" s="15">
        <f>((29.9213*(1-L59*0.00000687535)^5.2561)-L$52)/L$52/$F82*10^5</f>
        <v>1.7843006558040588</v>
      </c>
      <c r="M82" s="15">
        <f>((29.9213*(1-M59*0.00000687535)^5.2561)-M$52)/M$52/$F82*10^5</f>
        <v>1.7709946095314755</v>
      </c>
      <c r="N82" s="15">
        <f>((29.9213*(1-N59*0.00000687535)^5.2561)-N$52)/N$52/$F82*10^5</f>
        <v>1.7067102371716698</v>
      </c>
      <c r="O82" s="15">
        <f>((29.9213*(1-O59*0.00000687535)^5.2561)-O$52)/O$52/$F82*10^5</f>
        <v>1.6654582326780045</v>
      </c>
      <c r="P82" s="15">
        <f>((29.9213*(1-P59*0.00000687535)^5.2561)-P$52)/P$52/$F82*10^5</f>
        <v>1.6470511047482144</v>
      </c>
    </row>
    <row r="83" spans="6:16" ht="12.75" customHeight="1" hidden="1">
      <c r="F83" s="15">
        <f>F60</f>
        <v>2500</v>
      </c>
      <c r="G83" s="15">
        <f>((29.9213*(1-G60*0.00000687535)^5.2561)-G$52)/G$52/$F83*10^5</f>
        <v>2.320378590244362</v>
      </c>
      <c r="H83" s="15">
        <f>((29.9213*(1-H60*0.00000687535)^5.2561)-H$52)/H$52/$F83*10^5</f>
        <v>2.1852923198165186</v>
      </c>
      <c r="I83" s="15">
        <f>((29.9213*(1-I60*0.00000687535)^5.2561)-I$52)/I$52/$F83*10^5</f>
        <v>2.0633055143986656</v>
      </c>
      <c r="J83" s="15">
        <f>((29.9213*(1-J60*0.00000687535)^5.2561)-J$52)/J$52/$F83*10^5</f>
        <v>1.9090541986273342</v>
      </c>
      <c r="K83" s="15">
        <f>((29.9213*(1-K60*0.00000687535)^5.2561)-K$52)/K$52/$F83*10^5</f>
        <v>1.8323346968013325</v>
      </c>
      <c r="L83" s="15">
        <f>((29.9213*(1-L60*0.00000687535)^5.2561)-L$52)/L$52/$F83*10^5</f>
        <v>1.7748014274055635</v>
      </c>
      <c r="M83" s="15">
        <f>((29.9213*(1-M60*0.00000687535)^5.2561)-M$52)/M$52/$F83*10^5</f>
        <v>1.7875391423782894</v>
      </c>
      <c r="N83" s="15">
        <f>((29.9213*(1-N60*0.00000687535)^5.2561)-N$52)/N$52/$F83*10^5</f>
        <v>1.7151844537952543</v>
      </c>
      <c r="O83" s="15">
        <f>((29.9213*(1-O60*0.00000687535)^5.2561)-O$52)/O$52/$F83*10^5</f>
        <v>1.6744490353646515</v>
      </c>
      <c r="P83" s="15">
        <f>((29.9213*(1-P60*0.00000687535)^5.2561)-P$52)/P$52/$F83*10^5</f>
        <v>1.6557658332559697</v>
      </c>
    </row>
    <row r="84" spans="6:16" ht="12.75" customHeight="1" hidden="1">
      <c r="F84" s="15">
        <f>F61</f>
        <v>2600</v>
      </c>
      <c r="G84" s="15">
        <f>((29.9213*(1-G61*0.00000687535)^5.2561)-G$52)/G$52/$F84*10^5</f>
        <v>2.3090907000478396</v>
      </c>
      <c r="H84" s="15">
        <f>((29.9213*(1-H61*0.00000687535)^5.2561)-H$52)/H$52/$F84*10^5</f>
        <v>2.1767495351096366</v>
      </c>
      <c r="I84" s="15">
        <f>((29.9213*(1-I61*0.00000687535)^5.2561)-I$52)/I$52/$F84*10^5</f>
        <v>2.0573866638573692</v>
      </c>
      <c r="J84" s="15">
        <f>((29.9213*(1-J61*0.00000687535)^5.2561)-J$52)/J$52/$F84*10^5</f>
        <v>1.8976740216243408</v>
      </c>
      <c r="K84" s="15">
        <f>((29.9213*(1-K61*0.00000687535)^5.2561)-K$52)/K$52/$F84*10^5</f>
        <v>1.8225830374393814</v>
      </c>
      <c r="L84" s="15">
        <f>((29.9213*(1-L61*0.00000687535)^5.2561)-L$52)/L$52/$F84*10^5</f>
        <v>1.7661043455481922</v>
      </c>
      <c r="M84" s="15">
        <f>((29.9213*(1-M61*0.00000687535)^5.2561)-M$52)/M$52/$F84*10^5</f>
        <v>1.8014493239688907</v>
      </c>
      <c r="N84" s="15">
        <f>((29.9213*(1-N61*0.00000687535)^5.2561)-N$52)/N$52/$F84*10^5</f>
        <v>1.7231168959804317</v>
      </c>
      <c r="O84" s="15">
        <f>((29.9213*(1-O61*0.00000687535)^5.2561)-O$52)/O$52/$F84*10^5</f>
        <v>1.6828552004622441</v>
      </c>
      <c r="P84" s="15">
        <f>((29.9213*(1-P61*0.00000687535)^5.2561)-P$52)/P$52/$F84*10^5</f>
        <v>1.6639143602136806</v>
      </c>
    </row>
    <row r="85" spans="6:16" ht="12.75" customHeight="1" hidden="1">
      <c r="F85" s="15">
        <f>F62</f>
        <v>2700</v>
      </c>
      <c r="G85" s="15">
        <f>((29.9213*(1-G62*0.00000687535)^5.2561)-G$52)/G$52/$F85*10^5</f>
        <v>2.2970832843547315</v>
      </c>
      <c r="H85" s="15">
        <f>((29.9213*(1-H62*0.00000687535)^5.2561)-H$52)/H$52/$F85*10^5</f>
        <v>2.1673296969402456</v>
      </c>
      <c r="I85" s="15">
        <f>((29.9213*(1-I62*0.00000687535)^5.2561)-I$52)/I$52/$F85*10^5</f>
        <v>2.05043521366713</v>
      </c>
      <c r="J85" s="15">
        <f>((29.9213*(1-J62*0.00000687535)^5.2561)-J$52)/J$52/$F85*10^5</f>
        <v>1.887211288653947</v>
      </c>
      <c r="K85" s="15">
        <f>((29.9213*(1-K62*0.00000687535)^5.2561)-K$52)/K$52/$F85*10^5</f>
        <v>1.8136251822617102</v>
      </c>
      <c r="L85" s="15">
        <f>((29.9213*(1-L62*0.00000687535)^5.2561)-L$52)/L$52/$F85*10^5</f>
        <v>1.7581203460140196</v>
      </c>
      <c r="M85" s="15">
        <f>((29.9213*(1-M62*0.00000687535)^5.2561)-M$52)/M$52/$F85*10^5</f>
        <v>1.8159125860338536</v>
      </c>
      <c r="N85" s="15">
        <f>((29.9213*(1-N62*0.00000687535)^5.2561)-N$52)/N$52/$F85*10^5</f>
        <v>1.7305678818417938</v>
      </c>
      <c r="O85" s="15">
        <f>((29.9213*(1-O62*0.00000687535)^5.2561)-O$52)/O$52/$F85*10^5</f>
        <v>1.6907418035989419</v>
      </c>
      <c r="P85" s="15">
        <f>((29.9213*(1-P62*0.00000687535)^5.2561)-P$52)/P$52/$F85*10^5</f>
        <v>1.671559708303549</v>
      </c>
    </row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spans="1:5" ht="12.75" customHeight="1" hidden="1">
      <c r="A93" t="s">
        <v>43</v>
      </c>
      <c r="E93" t="s">
        <v>44</v>
      </c>
    </row>
    <row r="94" spans="1:8" ht="12.75" customHeight="1" hidden="1">
      <c r="A94" t="str">
        <f>"data for "</f>
        <v>data for </v>
      </c>
      <c r="B94" s="15">
        <f>INDEX(sea_level_data,MATCH(B$10,rpm,1),1)</f>
        <v>2300</v>
      </c>
      <c r="E94" t="str">
        <f>"data for (rpm)"</f>
        <v>data for (rpm)</v>
      </c>
      <c r="F94" s="15">
        <f>B94</f>
        <v>2300</v>
      </c>
      <c r="G94" s="15">
        <f>F94</f>
        <v>2300</v>
      </c>
      <c r="H94" s="15">
        <f>G94</f>
        <v>2300</v>
      </c>
    </row>
    <row r="95" spans="1:8" ht="12.75" customHeight="1" hidden="1">
      <c r="A95" t="str">
        <f>"min MP ("&amp;TEXT(INDEX(sea_level_data,MATCH(B$10,rpm,1),1),"General")&amp;" rpm)"</f>
        <v>min MP (2300 rpm)</v>
      </c>
      <c r="B95" s="15">
        <f>INDEX(min_MP,MATCH(B$10,rpm),1)</f>
        <v>17</v>
      </c>
      <c r="E95" t="s">
        <v>45</v>
      </c>
      <c r="F95" s="1">
        <f>INDEX($V$52:$AE$52,1,MATCH($B$11,$V$52:$AE$52))</f>
        <v>22</v>
      </c>
      <c r="G95" s="15">
        <f>INDEX($V$52:$AE$52,1,MATCH($B$11,$V$52:$AE$52)+1)</f>
        <v>24</v>
      </c>
      <c r="H95" s="15">
        <f>B11</f>
        <v>23</v>
      </c>
    </row>
    <row r="96" spans="1:8" ht="12.75" customHeight="1" hidden="1">
      <c r="A96" t="str">
        <f>"min hp ("&amp;TEXT(INDEX(sea_level_data,MATCH(B$10,rpm,1),1),"General")&amp;" rpm)"</f>
        <v>min hp (2300 rpm)</v>
      </c>
      <c r="B96" s="15">
        <f>INDEX(min_hp,MATCH(B$10,rpm),1)</f>
        <v>81</v>
      </c>
      <c r="E96" t="s">
        <v>46</v>
      </c>
      <c r="F96" s="15">
        <f>HLOOKUP(F95,$V$52:$AE$62,MATCH(F94,$U$52:$U$62))</f>
        <v>0.8055210596719704</v>
      </c>
      <c r="G96" s="15">
        <f>HLOOKUP(G95,$V$52:$AE$62,MATCH(G94,$U$52:$U$62))</f>
        <v>0.8637068647256315</v>
      </c>
      <c r="H96" s="15">
        <f>F96+(H95-F95)/(G95-F95)*(G96-F96)</f>
        <v>0.8346139621988009</v>
      </c>
    </row>
    <row r="97" spans="1:2" ht="12.75" customHeight="1" hidden="1">
      <c r="A97" t="str">
        <f>"max MP ("&amp;TEXT(INDEX(sea_level_data,MATCH(B$10,rpm,1),1),"General")&amp;" rpm)"</f>
        <v>max MP (2300 rpm)</v>
      </c>
      <c r="B97" s="15">
        <f>INDEX(max_MP,MATCH(B$10,rpm),1)</f>
        <v>28.1</v>
      </c>
    </row>
    <row r="98" spans="1:2" ht="12.75" customHeight="1" hidden="1">
      <c r="A98" t="str">
        <f>"max hp ("&amp;TEXT(INDEX(sea_level_data,MATCH(B$10,rpm,1),1),"General")&amp;" rpm)"</f>
        <v>max hp (2300 rpm)</v>
      </c>
      <c r="B98" s="15">
        <f>INDEX(max_hp,MATCH(B$10,rpm),1)</f>
        <v>162</v>
      </c>
    </row>
    <row r="99" ht="12.75" customHeight="1" hidden="1"/>
    <row r="100" spans="1:8" ht="12.75" customHeight="1" hidden="1">
      <c r="A100" t="str">
        <f>"data for "</f>
        <v>data for </v>
      </c>
      <c r="B100" s="15">
        <f>INDEX(sea_level_data,MATCH(B$10,rpm,1)+1,1)</f>
        <v>2400</v>
      </c>
      <c r="E100" t="str">
        <f>"data for (rpm)"</f>
        <v>data for (rpm)</v>
      </c>
      <c r="F100" s="15">
        <f>B100</f>
        <v>2400</v>
      </c>
      <c r="G100" s="15">
        <f>F100</f>
        <v>2400</v>
      </c>
      <c r="H100" s="15">
        <f>G100</f>
        <v>2400</v>
      </c>
    </row>
    <row r="101" spans="1:8" ht="12.75" customHeight="1" hidden="1">
      <c r="A101" t="str">
        <f>"min MP ("&amp;TEXT(INDEX(sea_level_data,MATCH(B$10,rpm,1)+1,1),"General")&amp;" rpm)"</f>
        <v>min MP (2400 rpm)</v>
      </c>
      <c r="B101" s="15">
        <f>INDEX(sea_level_data,MATCH(B$10,rpm,1)+1,2)</f>
        <v>17</v>
      </c>
      <c r="E101" t="s">
        <v>45</v>
      </c>
      <c r="F101" s="1">
        <f>INDEX($V$52:$AE$52,1,MATCH($B$11,$V$52:$AE$52))</f>
        <v>22</v>
      </c>
      <c r="G101" s="15">
        <f>INDEX($V$52:$AE$52,1,MATCH($B$11,$V$52:$AE$52)+1)</f>
        <v>24</v>
      </c>
      <c r="H101" s="15">
        <f>B11</f>
        <v>23</v>
      </c>
    </row>
    <row r="102" spans="1:8" ht="12.75" customHeight="1" hidden="1">
      <c r="A102" t="str">
        <f>"min hp ("&amp;TEXT(INDEX(sea_level_data,MATCH(B$10,rpm,1)+1,1),"General")&amp;" rpm)"</f>
        <v>min hp (2400 rpm)</v>
      </c>
      <c r="B102" s="15">
        <f>INDEX(sea_level_data,MATCH(B$10,rpm,1)+1,3)</f>
        <v>85</v>
      </c>
      <c r="E102" t="s">
        <v>46</v>
      </c>
      <c r="F102" s="15">
        <f>HLOOKUP(F101,$V$52:$AE$62,MATCH(F100,$U$52:$U$62))</f>
        <v>0.806488703403764</v>
      </c>
      <c r="G102" s="15">
        <f>HLOOKUP(G101,$V$52:$AE$62,MATCH(G100,$U$52:$U$62))</f>
        <v>0.8651465368016197</v>
      </c>
      <c r="H102" s="15">
        <f>F102+(H101-F101)/(G101-F101)*(G102-F102)</f>
        <v>0.8358176201026919</v>
      </c>
    </row>
    <row r="103" spans="1:2" ht="12.75" customHeight="1" hidden="1">
      <c r="A103" t="str">
        <f>"max MP ("&amp;TEXT(INDEX(sea_level_data,MATCH(B$10,rpm,1)+1,1),"General")&amp;" rpm)"</f>
        <v>max MP (2400 rpm)</v>
      </c>
      <c r="B103" s="15">
        <f>INDEX(sea_level_data,MATCH(B$10,rpm,1)+1,4)</f>
        <v>28.75</v>
      </c>
    </row>
    <row r="104" spans="1:6" ht="12.75" customHeight="1" hidden="1">
      <c r="A104" t="str">
        <f>"max hp ("&amp;TEXT(INDEX(sea_level_data,MATCH(B$10,rpm,1)+1,1),"General")&amp;" rpm)"</f>
        <v>max hp (2400 rpm)</v>
      </c>
      <c r="B104" s="15">
        <f>INDEX(sea_level_data,MATCH(B$10,rpm,1)+1,5)</f>
        <v>176</v>
      </c>
      <c r="E104" t="str">
        <f>"data for (rpm)"</f>
        <v>data for (rpm)</v>
      </c>
      <c r="F104" s="15">
        <f>B10</f>
        <v>2300</v>
      </c>
    </row>
    <row r="105" spans="5:6" ht="12.75" customHeight="1" hidden="1">
      <c r="E105" t="s">
        <v>45</v>
      </c>
      <c r="F105" s="15">
        <f>B11</f>
        <v>23</v>
      </c>
    </row>
    <row r="106" spans="1:6" ht="12.75" customHeight="1" hidden="1">
      <c r="A106" t="str">
        <f>"sea level hp at "&amp;TEXT(INDEX(sea_level_data,MATCH(B$10,rpm,1),1),"General")&amp;" rpm"</f>
        <v>sea level hp at 2300 rpm</v>
      </c>
      <c r="B106" s="15">
        <f>B96+(B11-B95)/(B97-B95)*(B98-B96)</f>
        <v>124.78378378378378</v>
      </c>
      <c r="E106" t="s">
        <v>46</v>
      </c>
      <c r="F106" s="15">
        <f>IF(H100=H94,H96,H96+(F104-H94)/(H100-H94)*(H102-H96))</f>
        <v>0.8346139621988009</v>
      </c>
    </row>
    <row r="107" spans="1:2" ht="12.75" customHeight="1" hidden="1">
      <c r="A107" t="str">
        <f>"sea level hp at "&amp;TEXT(INDEX(sea_level_data,MATCH(B$10,rpm,1)+1,1),"General")&amp;" rpm"</f>
        <v>sea level hp at 2400 rpm</v>
      </c>
      <c r="B107" s="15">
        <f>B102+(B11-B101)/(B103-B101)*(B104-B102)</f>
        <v>131.46808510638297</v>
      </c>
    </row>
    <row r="108" spans="5:8" ht="12.75" customHeight="1" hidden="1">
      <c r="E108" t="s">
        <v>47</v>
      </c>
      <c r="F108" s="15">
        <f>F94</f>
        <v>2300</v>
      </c>
      <c r="G108" s="15">
        <f>F100</f>
        <v>2400</v>
      </c>
      <c r="H108" s="15">
        <f>B10</f>
        <v>2300</v>
      </c>
    </row>
    <row r="109" spans="1:8" ht="12.75" customHeight="1" hidden="1">
      <c r="A109" t="str">
        <f>"sea level hp at "&amp;TEXT(B10,"General")&amp;" rpm"</f>
        <v>sea level hp at 2300 rpm</v>
      </c>
      <c r="B109" s="15">
        <f>IF(B100=B94,B106,B106+(B10-B94)/(B100-B94)*(B107-B106))</f>
        <v>124.78378378378378</v>
      </c>
      <c r="E109" t="s">
        <v>48</v>
      </c>
      <c r="F109">
        <v>1</v>
      </c>
      <c r="G109">
        <v>1</v>
      </c>
      <c r="H109">
        <v>1</v>
      </c>
    </row>
    <row r="110" spans="5:8" ht="12.75" customHeight="1" hidden="1">
      <c r="E110" t="s">
        <v>35</v>
      </c>
      <c r="F110" s="15">
        <f>INDEX(hp_at_sea_level,MATCH(F108,rpm_at_altitude),1)</f>
        <v>168</v>
      </c>
      <c r="G110" s="15">
        <f>INDEX(hp_at_sea_level,MATCH(G108,rpm_at_altitude),1)</f>
        <v>176</v>
      </c>
      <c r="H110" s="15">
        <f>IF(F$108=G$108,G110,F110+(H$108-F$108)/(G$108-F$108)*(G110-F110))</f>
        <v>168</v>
      </c>
    </row>
    <row r="111" spans="5:8" ht="12.75" customHeight="1" hidden="1">
      <c r="E111" t="s">
        <v>38</v>
      </c>
      <c r="F111" s="15">
        <f>INDEX(hp_at_ALT2,MATCH(F108,rpm_at_altitude),1)</f>
        <v>66.2</v>
      </c>
      <c r="G111" s="15">
        <f>INDEX(hp_at_ALT2,MATCH(G108,rpm_at_altitude),1)</f>
        <v>70.6</v>
      </c>
      <c r="H111" s="15">
        <f>IF(F$108=G$108,G111,F111+(H$108-F$108)/(G$108-F$108)*(G111-F111))</f>
        <v>66.2</v>
      </c>
    </row>
    <row r="112" spans="5:8" ht="12.75" customHeight="1" hidden="1">
      <c r="E112" t="s">
        <v>37</v>
      </c>
      <c r="F112" s="15">
        <f>INDEX(density_ration_at_ALT2,MATCH(F108,rpm_at_altitude),1)</f>
        <v>0.4806497176197829</v>
      </c>
      <c r="G112" s="15">
        <f>INDEX(density_ration_at_ALT2,MATCH(G108,rpm_at_altitude),1)</f>
        <v>0.4806497176197829</v>
      </c>
      <c r="H112" s="15">
        <f>INDEX(density_ration_at_ALT2,MATCH(H108,rpm_at_altitude),1)</f>
        <v>0.4806497176197829</v>
      </c>
    </row>
    <row r="113" ht="12.75" customHeight="1" hidden="1"/>
    <row r="114" spans="5:6" ht="12.75" customHeight="1" hidden="1">
      <c r="E114" t="s">
        <v>46</v>
      </c>
      <c r="F114" s="15">
        <f>F106</f>
        <v>0.8346139621988009</v>
      </c>
    </row>
    <row r="115" spans="5:6" ht="12.75" customHeight="1" hidden="1">
      <c r="E115" t="s">
        <v>49</v>
      </c>
      <c r="F115" s="15">
        <f>H110+(F114-H109)/(H112-H109)*(H111-H110)</f>
        <v>135.58199770105028</v>
      </c>
    </row>
    <row r="116" ht="12.75" customHeight="1" hidden="1"/>
    <row r="117" ht="12.75" customHeight="1" hidden="1">
      <c r="A117" t="s">
        <v>50</v>
      </c>
    </row>
    <row r="118" spans="1:2" ht="12.75" customHeight="1" hidden="1">
      <c r="A118" t="s">
        <v>51</v>
      </c>
      <c r="B118" s="15">
        <f>(1-B9*6.87535*10^-6)^4.2561</f>
        <v>0.7860132071886506</v>
      </c>
    </row>
    <row r="119" spans="1:2" ht="12.75" customHeight="1" hidden="1">
      <c r="A119" t="s">
        <v>48</v>
      </c>
      <c r="B119">
        <v>1</v>
      </c>
    </row>
    <row r="120" spans="1:2" ht="12.75" customHeight="1" hidden="1">
      <c r="A120" t="s">
        <v>35</v>
      </c>
      <c r="B120" s="15">
        <f>B109</f>
        <v>124.78378378378378</v>
      </c>
    </row>
    <row r="121" spans="1:2" ht="12.75" customHeight="1" hidden="1">
      <c r="A121" t="s">
        <v>46</v>
      </c>
      <c r="B121" s="15">
        <f>F114</f>
        <v>0.8346139621988009</v>
      </c>
    </row>
    <row r="122" spans="1:2" ht="12.75" customHeight="1" hidden="1">
      <c r="A122" t="s">
        <v>49</v>
      </c>
      <c r="B122" s="15">
        <f>F115</f>
        <v>135.58199770105028</v>
      </c>
    </row>
    <row r="123" spans="1:2" ht="12.75" customHeight="1" hidden="1">
      <c r="A123" t="s">
        <v>52</v>
      </c>
      <c r="B123" s="15">
        <f>B120+(B118-B119)/(B121-B119)*(B122-B120)</f>
        <v>138.75518786944343</v>
      </c>
    </row>
    <row r="124" ht="12.75" customHeight="1" hidden="1"/>
    <row r="125" ht="12.75" customHeight="1" hidden="1">
      <c r="A125" t="s">
        <v>53</v>
      </c>
    </row>
    <row r="126" spans="1:2" ht="12.75" customHeight="1" hidden="1">
      <c r="A126" t="s">
        <v>54</v>
      </c>
      <c r="B126" s="15">
        <f>IF(temp_unit="c",temp_actual,IF(temp_unit="f",(temp_actual-32)/1.8,"Invalid temp units in cell B7"))</f>
        <v>-9</v>
      </c>
    </row>
    <row r="127" spans="1:2" ht="12.75" customHeight="1" hidden="1">
      <c r="A127" t="s">
        <v>55</v>
      </c>
      <c r="B127" s="15">
        <f>15-0.0019812*B9</f>
        <v>-0.8495999999999988</v>
      </c>
    </row>
    <row r="128" spans="1:3" ht="12.75" customHeight="1" hidden="1">
      <c r="A128" t="s">
        <v>56</v>
      </c>
      <c r="B128" s="15">
        <f>B123*SQRT((B127+273.15)/(B126+273.15))</f>
        <v>140.87958444797934</v>
      </c>
      <c r="C128" t="s">
        <v>57</v>
      </c>
    </row>
    <row r="129" ht="12.75" customHeight="1" hidden="1"/>
    <row r="130" spans="1:2" ht="12.75" customHeight="1" hidden="1">
      <c r="A130" t="s">
        <v>58</v>
      </c>
      <c r="B130" s="15">
        <f>B127-20/1.8</f>
        <v>-11.96071111111111</v>
      </c>
    </row>
    <row r="131" spans="1:2" ht="12.75" customHeight="1" hidden="1">
      <c r="A131" t="s">
        <v>59</v>
      </c>
      <c r="B131" s="15">
        <f>B123*SQRT((B127+273.15)/(B130+273.15))</f>
        <v>141.67580466285352</v>
      </c>
    </row>
    <row r="132" ht="12.75" customHeight="1" hidden="1"/>
    <row r="133" spans="1:2" ht="12.75" customHeight="1" hidden="1">
      <c r="A133" t="s">
        <v>60</v>
      </c>
      <c r="B133" s="15">
        <f>B127+20/1.8</f>
        <v>10.261511111111112</v>
      </c>
    </row>
    <row r="134" spans="1:2" ht="12.75" customHeight="1" hidden="1">
      <c r="A134" t="s">
        <v>61</v>
      </c>
      <c r="B134" s="15">
        <f>B123*SQRT((B127+273.15)/(B133+273.15))</f>
        <v>136.0080539411573</v>
      </c>
    </row>
    <row r="135" ht="12.75" customHeight="1" hidden="1"/>
    <row r="136" ht="12.75" customHeight="1" hidden="1"/>
    <row r="137" ht="12.75" customHeight="1">
      <c r="E137"/>
    </row>
  </sheetData>
  <sheetProtection selectLockedCells="1" selectUnlockedCells="1"/>
  <hyperlinks>
    <hyperlink ref="A5" r:id="rId1" display="kevin01@kilohotel.com"/>
  </hyperlinks>
  <printOptions gridLines="1" headings="1"/>
  <pageMargins left="0.7479166666666667" right="0.7479166666666667" top="0.69375" bottom="0.69375" header="0.5" footer="0.5"/>
  <pageSetup firstPageNumber="72" useFirstPageNumber="1" horizontalDpi="300" verticalDpi="300" orientation="portrait"/>
  <headerFooter alignWithMargins="0">
    <oddHeader>&amp;L&amp;10io360apwr98.xls</oddHeader>
    <oddFooter>&amp;L&amp;10Page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OutlineSymbols="0" workbookViewId="0" topLeftCell="A1">
      <selection activeCell="C14" sqref="C14"/>
    </sheetView>
  </sheetViews>
  <sheetFormatPr defaultColWidth="9.77734375" defaultRowHeight="15"/>
  <cols>
    <col min="1" max="16384" width="9.6640625" style="0" customWidth="1"/>
  </cols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/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69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showOutlineSymbols="0" workbookViewId="0" topLeftCell="A1">
      <selection activeCell="A6" sqref="A6"/>
    </sheetView>
  </sheetViews>
  <sheetFormatPr defaultColWidth="9.77734375" defaultRowHeight="15"/>
  <cols>
    <col min="1" max="16384" width="9.6640625" style="0" customWidth="1"/>
  </cols>
  <sheetData>
    <row r="1" ht="15">
      <c r="A1" s="1" t="s">
        <v>73</v>
      </c>
    </row>
    <row r="2" ht="15">
      <c r="A2" s="3" t="s">
        <v>74</v>
      </c>
    </row>
    <row r="3" ht="15">
      <c r="A3" s="1" t="s">
        <v>75</v>
      </c>
    </row>
    <row r="4" ht="15">
      <c r="A4" s="3" t="s">
        <v>76</v>
      </c>
    </row>
    <row r="5" ht="15">
      <c r="A5" s="1" t="s">
        <v>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Horton</dc:creator>
  <cp:keywords/>
  <dc:description/>
  <cp:lastModifiedBy/>
  <dcterms:created xsi:type="dcterms:W3CDTF">2004-07-26T02:59:39Z</dcterms:created>
  <dcterms:modified xsi:type="dcterms:W3CDTF">2015-03-17T00:57:54Z</dcterms:modified>
  <cp:category/>
  <cp:version/>
  <cp:contentType/>
  <cp:contentStatus/>
  <cp:revision>4</cp:revision>
</cp:coreProperties>
</file>