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4720" windowHeight="14180" activeTab="0"/>
  </bookViews>
  <sheets>
    <sheet name="IO-360-A,-C Power" sheetId="1" r:id="rId1"/>
    <sheet name="Notes" sheetId="2" r:id="rId2"/>
    <sheet name="Version History" sheetId="3" r:id="rId3"/>
  </sheets>
  <definedNames>
    <definedName name="_ALT2">'IO-360-A,-C Power'!$C$52:$C$61</definedName>
    <definedName name="density_ration_at_ALT2">'IO-360-A,-C Power'!$D$52:$D$61</definedName>
    <definedName name="hp_at_ALT2">'Version History'!$A$37:$A$46</definedName>
    <definedName name="hp_at_altitude">'IO-360-A,-C Power'!$A$52:$D$61</definedName>
    <definedName name="hp_at_sea_level">'IO-360-A,-C Power'!$B$52:$B$61</definedName>
    <definedName name="max_hp">'IO-360-A,-C Power'!$J$27:$J$36</definedName>
    <definedName name="max_MP">'IO-360-A,-C Power'!$I$27:$I$36</definedName>
    <definedName name="min_hp">'IO-360-A,-C Power'!$H$27:$H$36</definedName>
    <definedName name="min_MP">'IO-360-A,-C Power'!$G$27:$G$36</definedName>
    <definedName name="rpm">'IO-360-A,-C Power'!$F$27:$F$36</definedName>
    <definedName name="rpm_at_altitude">'IO-360-A,-C Power'!$A$52:$A$61</definedName>
    <definedName name="rpm_input">'IO-360-A,-C Power'!$A$8:$B$8</definedName>
    <definedName name="sea_level_data">'IO-360-A,-C Power'!$F$27:$J$37</definedName>
    <definedName name="temp_actual">'IO-360-A,-C Power'!$B$11</definedName>
    <definedName name="temp_unit">'IO-360-A,-C Power'!$B$10</definedName>
  </definedNames>
  <calcPr fullCalcOnLoad="1"/>
</workbook>
</file>

<file path=xl/sharedStrings.xml><?xml version="1.0" encoding="utf-8"?>
<sst xmlns="http://schemas.openxmlformats.org/spreadsheetml/2006/main" count="99" uniqueCount="84">
  <si>
    <t>Lycoming IO-360-A, -C, -D, -J, -K &amp; AIO-360 series Power Chart</t>
  </si>
  <si>
    <t>data from Lycoming curve 12700-A - valid at maximum power mixture only</t>
  </si>
  <si>
    <t>User Input Data</t>
  </si>
  <si>
    <t>were validated by spot checks against the power</t>
  </si>
  <si>
    <t>chart from a Cessna 177RG POH (IO-360-A1B6D) found</t>
  </si>
  <si>
    <t>at http://www.aerowings.org/aircraftpoh.htm.  The</t>
  </si>
  <si>
    <t>C</t>
  </si>
  <si>
    <t>spreadsheet typically calculated one-half to one</t>
  </si>
  <si>
    <t>percent higher power for the same rpm and MP than</t>
  </si>
  <si>
    <t>Relative humidity (%):</t>
  </si>
  <si>
    <t>was given in the POH.  But, the spreadsheet is</t>
  </si>
  <si>
    <t>Rated Power (hp)</t>
  </si>
  <si>
    <t>valid at maximum power mixture, and the POH data</t>
  </si>
  <si>
    <t>is for recommended lean mixture, so this is</t>
  </si>
  <si>
    <t>hp</t>
  </si>
  <si>
    <t>(% power)</t>
  </si>
  <si>
    <t>probably about correct.</t>
  </si>
  <si>
    <t>power at actual temperature=</t>
  </si>
  <si>
    <t>power at standard temperature - 20 deg F=</t>
  </si>
  <si>
    <t xml:space="preserve">Version history </t>
  </si>
  <si>
    <t>power at standard temperature=</t>
  </si>
  <si>
    <t>power at standard temperature + 20 deg F=</t>
  </si>
  <si>
    <t>Sea Level Part Throttle Data</t>
  </si>
  <si>
    <t>Data for graph</t>
  </si>
  <si>
    <t>Data for spreadsheet</t>
  </si>
  <si>
    <t>rpm</t>
  </si>
  <si>
    <t>MP</t>
  </si>
  <si>
    <t>Power</t>
  </si>
  <si>
    <t>min MP</t>
  </si>
  <si>
    <t>min hp</t>
  </si>
  <si>
    <t>max MP</t>
  </si>
  <si>
    <t>max hp</t>
  </si>
  <si>
    <t>Full Throttle Data (at altitude)</t>
  </si>
  <si>
    <t>Data from graph</t>
  </si>
  <si>
    <t>Full Throttle altitudes at MP</t>
  </si>
  <si>
    <t>Data for calculation - density ratios at MP</t>
  </si>
  <si>
    <t>rpm at altitude</t>
  </si>
  <si>
    <t>hp at sea level</t>
  </si>
  <si>
    <t>ALT2</t>
  </si>
  <si>
    <t>density ratio at ALT2</t>
  </si>
  <si>
    <t>hp at ALT2</t>
  </si>
  <si>
    <t>Pressure loss/pressure/rpm*10000 (use to smooth data someday)</t>
  </si>
  <si>
    <t>average</t>
  </si>
  <si>
    <t>slope</t>
  </si>
  <si>
    <t>y intercept</t>
  </si>
  <si>
    <t>Sea Level, part throttle power calc</t>
  </si>
  <si>
    <t>Full throttle power at altitude calc</t>
  </si>
  <si>
    <t>data for (in HG)</t>
  </si>
  <si>
    <t>density ratio at FT</t>
  </si>
  <si>
    <t>data for (rpm)</t>
  </si>
  <si>
    <t>density ratio at sea level</t>
  </si>
  <si>
    <t>hp at FT</t>
  </si>
  <si>
    <t>Calculation at actual altitude</t>
  </si>
  <si>
    <t>density ratio at actual altitude</t>
  </si>
  <si>
    <t>hp at actual altitude (standard temp)</t>
  </si>
  <si>
    <t>Temperature correction</t>
  </si>
  <si>
    <t>Actual temp (deg C)</t>
  </si>
  <si>
    <t>Standard temp (deg C)</t>
  </si>
  <si>
    <t>Corrected power at actual temp</t>
  </si>
  <si>
    <t>Correction from Lycoming</t>
  </si>
  <si>
    <t>Temp at ISA - 20 deg F(deg C)</t>
  </si>
  <si>
    <t>Power at ISA - 20 deg F</t>
  </si>
  <si>
    <t>Temp at ISA + 20 deg F (deg C)</t>
  </si>
  <si>
    <t>Power at ISA + 20 deg F</t>
  </si>
  <si>
    <t>by Kevin Horton - kevin01@kilohotel.com, http://www.kilohotel.com/rv8</t>
  </si>
  <si>
    <t>v1.03 - 09 Sept 2015 - revised email address and web site URL</t>
  </si>
  <si>
    <t>Notes</t>
  </si>
  <si>
    <t>The accuracy of the spreadsheet calculations</t>
  </si>
  <si>
    <t>Version</t>
  </si>
  <si>
    <t>Date</t>
  </si>
  <si>
    <t>Reformatted.  Revised email address and URL.</t>
  </si>
  <si>
    <t>added info about validation against C177RG power chart</t>
  </si>
  <si>
    <t xml:space="preserve">corrected several errors </t>
  </si>
  <si>
    <t xml:space="preserve">Initial release </t>
  </si>
  <si>
    <t>Results</t>
  </si>
  <si>
    <t>Minor reformats</t>
  </si>
  <si>
    <t>Manifold Pressure (in HG):</t>
  </si>
  <si>
    <t>Temperature Units (F or C):</t>
  </si>
  <si>
    <t>Pressure Altitude (ft):</t>
  </si>
  <si>
    <t>RPM:</t>
  </si>
  <si>
    <t>Version 2, 30 December 2015</t>
  </si>
  <si>
    <t>Rated RPM</t>
  </si>
  <si>
    <t>not implemented</t>
  </si>
  <si>
    <t>Corrected behaviour above max rated rpm. Added approximate data for higher than ambient MP, to cover aircraft with efficient air induction systems and high TAS giving large ram recovery factors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</si>
</sst>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[$-1009]dddd\,\ mmmm\ d\,\ yyyy"/>
    <numFmt numFmtId="175" formatCode="[$-1009]d\-mmm\-yy;@"/>
    <numFmt numFmtId="176" formatCode="dd\ mmm\ yyyy"/>
    <numFmt numFmtId="177" formatCode="0.000"/>
    <numFmt numFmtId="178" formatCode="0.0000"/>
  </numFmts>
  <fonts count="40">
    <font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color indexed="8"/>
      <name val="Genev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 locked="0"/>
    </xf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0" applyNumberFormat="0" applyFill="0" applyBorder="0" applyAlignment="0" applyProtection="0"/>
    <xf numFmtId="0" fontId="0" fillId="0" borderId="0">
      <alignment/>
      <protection locked="0"/>
    </xf>
    <xf numFmtId="0" fontId="29" fillId="29" borderId="0" applyNumberFormat="0" applyBorder="0" applyAlignment="0" applyProtection="0"/>
    <xf numFmtId="0" fontId="3" fillId="0" borderId="0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7">
      <alignment/>
      <protection locked="0"/>
    </xf>
    <xf numFmtId="0" fontId="4" fillId="0" borderId="0" xfId="0" applyFont="1" applyAlignment="1">
      <alignment/>
    </xf>
    <xf numFmtId="0" fontId="0" fillId="0" borderId="0" xfId="47" applyFont="1">
      <alignment/>
      <protection locked="0"/>
    </xf>
    <xf numFmtId="0" fontId="0" fillId="0" borderId="0" xfId="0" applyFont="1" applyAlignment="1">
      <alignment/>
    </xf>
    <xf numFmtId="0" fontId="0" fillId="0" borderId="0" xfId="47" applyFo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0" xfId="53">
      <alignment/>
      <protection locked="0"/>
    </xf>
    <xf numFmtId="0" fontId="0" fillId="0" borderId="0" xfId="47" applyFont="1" applyFill="1">
      <alignment/>
      <protection locked="0"/>
    </xf>
    <xf numFmtId="0" fontId="2" fillId="0" borderId="0" xfId="0" applyFont="1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2" fillId="0" borderId="0" xfId="47" applyFont="1">
      <alignment/>
      <protection locked="0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2" fontId="5" fillId="34" borderId="0" xfId="0" applyNumberFormat="1" applyFont="1" applyFill="1" applyAlignment="1">
      <alignment/>
    </xf>
    <xf numFmtId="173" fontId="5" fillId="34" borderId="0" xfId="63" applyNumberFormat="1" applyFont="1" applyFill="1" applyAlignment="1">
      <alignment/>
    </xf>
    <xf numFmtId="0" fontId="5" fillId="0" borderId="0" xfId="0" applyFont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 1" xfId="47"/>
    <cellStyle name="Default SS" xfId="48"/>
    <cellStyle name="Default TB" xfId="49"/>
    <cellStyle name="Explanatory Text" xfId="50"/>
    <cellStyle name="Footer" xfId="51"/>
    <cellStyle name="Good" xfId="52"/>
    <cellStyle name="Header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showOutlineSymbols="0" zoomScalePageLayoutView="0" workbookViewId="0" topLeftCell="A1">
      <selection activeCell="A3" sqref="A3"/>
    </sheetView>
  </sheetViews>
  <sheetFormatPr defaultColWidth="12.4453125" defaultRowHeight="12.75" customHeight="1"/>
  <cols>
    <col min="1" max="1" width="42.4453125" style="1" customWidth="1"/>
    <col min="2" max="2" width="8.4453125" style="1" customWidth="1"/>
    <col min="3" max="3" width="9.88671875" style="1" customWidth="1"/>
    <col min="4" max="4" width="7.99609375" style="1" customWidth="1"/>
    <col min="5" max="5" width="21.88671875" style="1" customWidth="1"/>
    <col min="6" max="7" width="11.3359375" style="1" customWidth="1"/>
    <col min="8" max="8" width="12.6640625" style="1" customWidth="1"/>
    <col min="9" max="33" width="11.3359375" style="1" customWidth="1"/>
  </cols>
  <sheetData>
    <row r="1" spans="1:2" ht="18">
      <c r="A1" s="10" t="s">
        <v>0</v>
      </c>
      <c r="B1" s="3"/>
    </row>
    <row r="2" spans="1:3" ht="15.75">
      <c r="A2" s="4" t="s">
        <v>1</v>
      </c>
      <c r="B2" s="3"/>
      <c r="C2" s="3"/>
    </row>
    <row r="3" spans="1:3" ht="15.75">
      <c r="A3" s="4" t="s">
        <v>80</v>
      </c>
      <c r="B3" s="3"/>
      <c r="C3" s="3"/>
    </row>
    <row r="4" spans="1:3" ht="15.75">
      <c r="A4" s="4" t="s">
        <v>64</v>
      </c>
      <c r="B4" s="3"/>
      <c r="C4" s="3"/>
    </row>
    <row r="5" spans="1:3" ht="15.75">
      <c r="A5" s="3"/>
      <c r="B5" s="3"/>
      <c r="C5" s="3"/>
    </row>
    <row r="6" spans="1:3" ht="15.75">
      <c r="A6" s="2" t="s">
        <v>2</v>
      </c>
      <c r="B6" s="3"/>
      <c r="C6" s="3"/>
    </row>
    <row r="7" spans="1:3" ht="15.75">
      <c r="A7" s="18" t="s">
        <v>78</v>
      </c>
      <c r="B7" s="11">
        <v>8000</v>
      </c>
      <c r="C7" s="3"/>
    </row>
    <row r="8" spans="1:3" ht="15.75">
      <c r="A8" s="18" t="s">
        <v>79</v>
      </c>
      <c r="B8" s="11">
        <v>2450</v>
      </c>
      <c r="C8" s="3"/>
    </row>
    <row r="9" spans="1:3" ht="15.75">
      <c r="A9" s="18" t="s">
        <v>76</v>
      </c>
      <c r="B9" s="11">
        <v>23</v>
      </c>
      <c r="C9" s="3"/>
    </row>
    <row r="10" spans="1:3" ht="15.75">
      <c r="A10" s="18" t="s">
        <v>77</v>
      </c>
      <c r="B10" s="12" t="s">
        <v>6</v>
      </c>
      <c r="C10" s="3"/>
    </row>
    <row r="11" spans="1:3" ht="15.75">
      <c r="A11" s="18" t="str">
        <f>IF(B10="c","Temperature (deg C):",IF(B10="f","Temperature (deg F):","enter F or C for temperature units"))</f>
        <v>Temperature (deg C):</v>
      </c>
      <c r="B11" s="11">
        <v>-9</v>
      </c>
      <c r="C11" s="3"/>
    </row>
    <row r="12" spans="1:3" ht="15.75" customHeight="1" hidden="1">
      <c r="A12" s="4" t="s">
        <v>9</v>
      </c>
      <c r="B12" s="5" t="s">
        <v>82</v>
      </c>
      <c r="C12" s="3"/>
    </row>
    <row r="13" spans="1:3" ht="15.75" customHeight="1" hidden="1">
      <c r="A13" s="4" t="s">
        <v>11</v>
      </c>
      <c r="B13" s="6">
        <v>200</v>
      </c>
      <c r="C13" s="3"/>
    </row>
    <row r="14" spans="1:3" ht="15.75" customHeight="1" hidden="1">
      <c r="A14" s="18" t="s">
        <v>81</v>
      </c>
      <c r="B14" s="6">
        <v>2700</v>
      </c>
      <c r="C14" s="3"/>
    </row>
    <row r="15" spans="1:3" ht="12.75" customHeight="1">
      <c r="A15" s="3"/>
      <c r="B15" s="3"/>
      <c r="C15" s="3"/>
    </row>
    <row r="16" spans="1:3" ht="15.75">
      <c r="A16" s="2" t="s">
        <v>74</v>
      </c>
      <c r="B16" s="7" t="s">
        <v>14</v>
      </c>
      <c r="C16" s="7" t="s">
        <v>15</v>
      </c>
    </row>
    <row r="17" spans="1:3" ht="15.75">
      <c r="A17" s="4" t="s">
        <v>17</v>
      </c>
      <c r="B17" s="16">
        <f>B127</f>
        <v>152.25192049121455</v>
      </c>
      <c r="C17" s="17">
        <f>B17/B$13</f>
        <v>0.7612596024560727</v>
      </c>
    </row>
    <row r="18" spans="1:3" ht="15.75">
      <c r="A18" s="4" t="s">
        <v>18</v>
      </c>
      <c r="B18" s="16">
        <f>B130</f>
        <v>153.11241463111088</v>
      </c>
      <c r="C18" s="17">
        <f>B18/B$13</f>
        <v>0.7655620731555544</v>
      </c>
    </row>
    <row r="19" spans="1:3" ht="15.75">
      <c r="A19" s="4" t="s">
        <v>20</v>
      </c>
      <c r="B19" s="16">
        <f>B122</f>
        <v>149.9560345384384</v>
      </c>
      <c r="C19" s="17">
        <f>B19/B$13</f>
        <v>0.749780172692192</v>
      </c>
    </row>
    <row r="20" spans="1:3" ht="15.75">
      <c r="A20" s="4" t="s">
        <v>21</v>
      </c>
      <c r="B20" s="16">
        <f>B133</f>
        <v>146.98714150779077</v>
      </c>
      <c r="C20" s="17">
        <f>B20/B$13</f>
        <v>0.7349357075389539</v>
      </c>
    </row>
    <row r="22" ht="12.75" customHeight="1" hidden="1"/>
    <row r="23" spans="1:33" ht="12.75" customHeight="1" hidden="1">
      <c r="A23"/>
      <c r="B23"/>
      <c r="C23"/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ht="12.75" customHeight="1" hidden="1">
      <c r="A24" s="2" t="s">
        <v>22</v>
      </c>
    </row>
    <row r="25" spans="1:6" ht="12.75" customHeight="1" hidden="1">
      <c r="A25" t="s">
        <v>23</v>
      </c>
      <c r="F25" t="s">
        <v>24</v>
      </c>
    </row>
    <row r="26" spans="1:10" ht="12.75" customHeight="1" hidden="1">
      <c r="A26" t="s">
        <v>25</v>
      </c>
      <c r="B26" t="s">
        <v>26</v>
      </c>
      <c r="C26" t="s">
        <v>27</v>
      </c>
      <c r="F26" t="s">
        <v>25</v>
      </c>
      <c r="G26" t="s">
        <v>28</v>
      </c>
      <c r="H26" t="s">
        <v>29</v>
      </c>
      <c r="I26" t="s">
        <v>30</v>
      </c>
      <c r="J26" t="s">
        <v>31</v>
      </c>
    </row>
    <row r="27" spans="1:10" ht="12.75" customHeight="1" hidden="1">
      <c r="A27">
        <v>2700</v>
      </c>
      <c r="B27">
        <v>17</v>
      </c>
      <c r="C27">
        <v>99.5</v>
      </c>
      <c r="F27">
        <f>A45</f>
        <v>1800</v>
      </c>
      <c r="G27">
        <f>B45</f>
        <v>17</v>
      </c>
      <c r="H27">
        <f>C45</f>
        <v>54</v>
      </c>
      <c r="I27">
        <f>B46</f>
        <v>25</v>
      </c>
      <c r="J27">
        <f>C46</f>
        <v>97.8</v>
      </c>
    </row>
    <row r="28" spans="1:10" ht="12.75" customHeight="1" hidden="1">
      <c r="A28">
        <v>2700</v>
      </c>
      <c r="B28">
        <v>28.6</v>
      </c>
      <c r="C28">
        <v>200</v>
      </c>
      <c r="F28">
        <f>A43</f>
        <v>1900</v>
      </c>
      <c r="G28">
        <f>B43</f>
        <v>17</v>
      </c>
      <c r="H28">
        <f>C43</f>
        <v>61</v>
      </c>
      <c r="I28">
        <f>B44</f>
        <v>25.55</v>
      </c>
      <c r="J28">
        <f>C44</f>
        <v>109.5</v>
      </c>
    </row>
    <row r="29" spans="1:10" ht="12.75" customHeight="1" hidden="1">
      <c r="A29">
        <v>2600</v>
      </c>
      <c r="B29">
        <v>17</v>
      </c>
      <c r="C29">
        <v>94.1</v>
      </c>
      <c r="F29">
        <f>A41</f>
        <v>2000</v>
      </c>
      <c r="G29">
        <f>B41</f>
        <v>17</v>
      </c>
      <c r="H29">
        <f>C41</f>
        <v>67</v>
      </c>
      <c r="I29">
        <f>B42</f>
        <v>26.15</v>
      </c>
      <c r="J29">
        <f>C42</f>
        <v>121.8</v>
      </c>
    </row>
    <row r="30" spans="1:10" ht="12.75" customHeight="1" hidden="1">
      <c r="A30">
        <v>2600</v>
      </c>
      <c r="B30">
        <v>28.65</v>
      </c>
      <c r="C30">
        <v>193</v>
      </c>
      <c r="F30">
        <f>A39</f>
        <v>2100</v>
      </c>
      <c r="G30">
        <f>B39</f>
        <v>17</v>
      </c>
      <c r="H30">
        <f>C39</f>
        <v>72</v>
      </c>
      <c r="I30">
        <f>B40</f>
        <v>26.88</v>
      </c>
      <c r="J30">
        <f>C40</f>
        <v>136</v>
      </c>
    </row>
    <row r="31" spans="1:10" ht="12.75" customHeight="1" hidden="1">
      <c r="A31">
        <v>2500</v>
      </c>
      <c r="B31">
        <v>17</v>
      </c>
      <c r="C31">
        <v>90</v>
      </c>
      <c r="F31">
        <f>A37</f>
        <v>2200</v>
      </c>
      <c r="G31">
        <f>B37</f>
        <v>17</v>
      </c>
      <c r="H31">
        <f>C37</f>
        <v>76</v>
      </c>
      <c r="I31">
        <f>B38</f>
        <v>27.3</v>
      </c>
      <c r="J31">
        <f>C38</f>
        <v>145.75</v>
      </c>
    </row>
    <row r="32" spans="1:10" ht="12.75" customHeight="1" hidden="1">
      <c r="A32">
        <v>2500</v>
      </c>
      <c r="B32">
        <v>28.7</v>
      </c>
      <c r="C32">
        <v>184</v>
      </c>
      <c r="F32">
        <f>A35</f>
        <v>2300</v>
      </c>
      <c r="G32">
        <f>B35</f>
        <v>17</v>
      </c>
      <c r="H32">
        <f>C35</f>
        <v>81</v>
      </c>
      <c r="I32">
        <f>B36</f>
        <v>28.1</v>
      </c>
      <c r="J32">
        <f>C36</f>
        <v>162</v>
      </c>
    </row>
    <row r="33" spans="1:10" ht="12.75" customHeight="1" hidden="1">
      <c r="A33">
        <v>2400</v>
      </c>
      <c r="B33">
        <v>17</v>
      </c>
      <c r="C33">
        <v>85</v>
      </c>
      <c r="F33">
        <f>A33</f>
        <v>2400</v>
      </c>
      <c r="G33">
        <f>B33</f>
        <v>17</v>
      </c>
      <c r="H33">
        <f>C33</f>
        <v>85</v>
      </c>
      <c r="I33">
        <f>B34</f>
        <v>28.75</v>
      </c>
      <c r="J33">
        <f>C34</f>
        <v>176</v>
      </c>
    </row>
    <row r="34" spans="1:10" ht="12.75" customHeight="1" hidden="1">
      <c r="A34">
        <v>2400</v>
      </c>
      <c r="B34">
        <v>28.75</v>
      </c>
      <c r="C34">
        <v>176</v>
      </c>
      <c r="F34">
        <f>A31</f>
        <v>2500</v>
      </c>
      <c r="G34">
        <f>B31</f>
        <v>17</v>
      </c>
      <c r="H34">
        <f>C31</f>
        <v>90</v>
      </c>
      <c r="I34">
        <f>B32</f>
        <v>28.7</v>
      </c>
      <c r="J34">
        <f>C32</f>
        <v>184</v>
      </c>
    </row>
    <row r="35" spans="1:10" ht="12.75" customHeight="1" hidden="1">
      <c r="A35">
        <v>2300</v>
      </c>
      <c r="B35">
        <v>17</v>
      </c>
      <c r="C35">
        <v>81</v>
      </c>
      <c r="F35">
        <f>A29</f>
        <v>2600</v>
      </c>
      <c r="G35">
        <f>B29</f>
        <v>17</v>
      </c>
      <c r="H35">
        <f>C29</f>
        <v>94.1</v>
      </c>
      <c r="I35">
        <f>B30</f>
        <v>28.65</v>
      </c>
      <c r="J35">
        <f>C30</f>
        <v>193</v>
      </c>
    </row>
    <row r="36" spans="1:10" ht="12.75" customHeight="1" hidden="1">
      <c r="A36">
        <v>2300</v>
      </c>
      <c r="B36">
        <v>28.1</v>
      </c>
      <c r="C36">
        <v>162</v>
      </c>
      <c r="F36">
        <f>A27</f>
        <v>2700</v>
      </c>
      <c r="G36">
        <f>B27</f>
        <v>17</v>
      </c>
      <c r="H36">
        <f>C27</f>
        <v>99.5</v>
      </c>
      <c r="I36">
        <f>B28</f>
        <v>28.6</v>
      </c>
      <c r="J36">
        <f>C28</f>
        <v>200</v>
      </c>
    </row>
    <row r="37" spans="1:10" ht="12.75" customHeight="1" hidden="1">
      <c r="A37">
        <v>2200</v>
      </c>
      <c r="B37">
        <v>17</v>
      </c>
      <c r="C37">
        <v>76</v>
      </c>
      <c r="F37">
        <f>F36</f>
        <v>2700</v>
      </c>
      <c r="G37">
        <f>G36</f>
        <v>17</v>
      </c>
      <c r="H37">
        <f>H36</f>
        <v>99.5</v>
      </c>
      <c r="I37">
        <f>I36</f>
        <v>28.6</v>
      </c>
      <c r="J37">
        <f>J36</f>
        <v>200</v>
      </c>
    </row>
    <row r="38" spans="1:3" ht="12.75" customHeight="1" hidden="1">
      <c r="A38">
        <v>2200</v>
      </c>
      <c r="B38">
        <v>27.3</v>
      </c>
      <c r="C38">
        <v>145.75</v>
      </c>
    </row>
    <row r="39" spans="1:3" ht="12.75" customHeight="1" hidden="1">
      <c r="A39">
        <v>2100</v>
      </c>
      <c r="B39">
        <v>17</v>
      </c>
      <c r="C39">
        <v>72</v>
      </c>
    </row>
    <row r="40" spans="1:3" ht="12.75" customHeight="1" hidden="1">
      <c r="A40">
        <v>2100</v>
      </c>
      <c r="B40">
        <v>26.88</v>
      </c>
      <c r="C40">
        <v>136</v>
      </c>
    </row>
    <row r="41" spans="1:3" ht="12.75" customHeight="1" hidden="1">
      <c r="A41">
        <v>2000</v>
      </c>
      <c r="B41">
        <v>17</v>
      </c>
      <c r="C41">
        <v>67</v>
      </c>
    </row>
    <row r="42" spans="1:3" ht="12.75" customHeight="1" hidden="1">
      <c r="A42">
        <v>2000</v>
      </c>
      <c r="B42">
        <v>26.15</v>
      </c>
      <c r="C42">
        <v>121.8</v>
      </c>
    </row>
    <row r="43" spans="1:3" ht="12.75" customHeight="1" hidden="1">
      <c r="A43">
        <v>1900</v>
      </c>
      <c r="B43">
        <v>17</v>
      </c>
      <c r="C43">
        <v>61</v>
      </c>
    </row>
    <row r="44" spans="1:3" ht="12.75" customHeight="1" hidden="1">
      <c r="A44">
        <v>1900</v>
      </c>
      <c r="B44">
        <v>25.55</v>
      </c>
      <c r="C44">
        <v>109.5</v>
      </c>
    </row>
    <row r="45" spans="1:3" ht="12.75" customHeight="1" hidden="1">
      <c r="A45">
        <v>1800</v>
      </c>
      <c r="B45">
        <v>17</v>
      </c>
      <c r="C45">
        <v>54</v>
      </c>
    </row>
    <row r="46" spans="1:3" ht="12.75" customHeight="1" hidden="1">
      <c r="A46">
        <v>1800</v>
      </c>
      <c r="B46">
        <v>25</v>
      </c>
      <c r="C46">
        <v>97.8</v>
      </c>
    </row>
    <row r="47" ht="12.75" customHeight="1" hidden="1"/>
    <row r="48" ht="12.75" customHeight="1" hidden="1"/>
    <row r="49" ht="12.75" customHeight="1" hidden="1">
      <c r="A49" t="s">
        <v>32</v>
      </c>
    </row>
    <row r="50" spans="1:18" ht="12.75" customHeight="1" hidden="1">
      <c r="A50" t="s">
        <v>33</v>
      </c>
      <c r="G50" t="s">
        <v>34</v>
      </c>
      <c r="R50" t="s">
        <v>35</v>
      </c>
    </row>
    <row r="51" spans="1:32" ht="12.75" customHeight="1" hidden="1">
      <c r="A51" t="s">
        <v>36</v>
      </c>
      <c r="B51" t="s">
        <v>37</v>
      </c>
      <c r="C51" t="s">
        <v>38</v>
      </c>
      <c r="D51" t="s">
        <v>39</v>
      </c>
      <c r="G51">
        <v>12</v>
      </c>
      <c r="H51">
        <v>14</v>
      </c>
      <c r="I51">
        <v>16</v>
      </c>
      <c r="J51">
        <v>18</v>
      </c>
      <c r="K51">
        <v>20</v>
      </c>
      <c r="L51">
        <v>22</v>
      </c>
      <c r="M51">
        <v>24</v>
      </c>
      <c r="N51">
        <v>26</v>
      </c>
      <c r="O51">
        <v>28</v>
      </c>
      <c r="P51">
        <v>30</v>
      </c>
      <c r="Q51" s="1">
        <v>32</v>
      </c>
      <c r="U51" t="s">
        <v>25</v>
      </c>
      <c r="V51">
        <f aca="true" t="shared" si="0" ref="V51:AE51">G51</f>
        <v>12</v>
      </c>
      <c r="W51">
        <f t="shared" si="0"/>
        <v>14</v>
      </c>
      <c r="X51">
        <f t="shared" si="0"/>
        <v>16</v>
      </c>
      <c r="Y51">
        <f t="shared" si="0"/>
        <v>18</v>
      </c>
      <c r="Z51">
        <f t="shared" si="0"/>
        <v>20</v>
      </c>
      <c r="AA51">
        <f t="shared" si="0"/>
        <v>22</v>
      </c>
      <c r="AB51">
        <f t="shared" si="0"/>
        <v>24</v>
      </c>
      <c r="AC51">
        <f t="shared" si="0"/>
        <v>26</v>
      </c>
      <c r="AD51">
        <f t="shared" si="0"/>
        <v>28</v>
      </c>
      <c r="AE51">
        <f t="shared" si="0"/>
        <v>30</v>
      </c>
      <c r="AF51" s="1">
        <v>32</v>
      </c>
    </row>
    <row r="52" spans="1:32" ht="12.75" customHeight="1" hidden="1">
      <c r="A52">
        <v>1800</v>
      </c>
      <c r="B52">
        <v>120.2</v>
      </c>
      <c r="C52">
        <v>23000</v>
      </c>
      <c r="D52">
        <f aca="true" t="shared" si="1" ref="D52:D61">(1-C52*6.87535*10^-6)^4.2561</f>
        <v>0.4806497176197829</v>
      </c>
      <c r="F52">
        <f aca="true" t="shared" si="2" ref="F52:F61">A52</f>
        <v>1800</v>
      </c>
      <c r="G52">
        <v>22200</v>
      </c>
      <c r="H52">
        <v>18600</v>
      </c>
      <c r="I52">
        <v>15400</v>
      </c>
      <c r="J52">
        <v>12500</v>
      </c>
      <c r="K52">
        <v>9850</v>
      </c>
      <c r="L52" s="8">
        <v>7400</v>
      </c>
      <c r="M52">
        <v>5200</v>
      </c>
      <c r="N52">
        <v>3050</v>
      </c>
      <c r="O52">
        <v>1050</v>
      </c>
      <c r="P52">
        <v>-850</v>
      </c>
      <c r="Q52" s="1">
        <f>P52-(O52-P52)+100</f>
        <v>-2650</v>
      </c>
      <c r="U52">
        <f aca="true" t="shared" si="3" ref="U52:U61">A52</f>
        <v>1800</v>
      </c>
      <c r="V52">
        <f aca="true" t="shared" si="4" ref="V52:V61">(1-G52*0.00000687535)^4.2561</f>
        <v>0.4941579786656591</v>
      </c>
      <c r="W52">
        <f aca="true" t="shared" si="5" ref="W52:W61">(1-H52*0.00000687535)^4.2561</f>
        <v>0.5585774007068781</v>
      </c>
      <c r="X52">
        <f aca="true" t="shared" si="6" ref="X52:X61">(1-I52*0.00000687535)^4.2561</f>
        <v>0.6210619153593988</v>
      </c>
      <c r="Y52">
        <f aca="true" t="shared" si="7" ref="Y52:Y61">(1-J52*0.00000687535)^4.2561</f>
        <v>0.6821826146931484</v>
      </c>
      <c r="Z52">
        <f aca="true" t="shared" si="8" ref="Z52:Z61">(1-K52*0.00000687535)^4.2561</f>
        <v>0.7419624690835999</v>
      </c>
      <c r="AA52">
        <f aca="true" t="shared" si="9" ref="AA52:AA61">(1-L52*0.00000687535)^4.2561</f>
        <v>0.800720843256816</v>
      </c>
      <c r="AB52">
        <f aca="true" t="shared" si="10" ref="AB52:AB61">(1-M52*0.00000687535)^4.2561</f>
        <v>0.8564579993918366</v>
      </c>
      <c r="AC52">
        <f aca="true" t="shared" si="11" ref="AC52:AC61">(1-N52*0.00000687535)^4.2561</f>
        <v>0.9137495998254916</v>
      </c>
      <c r="AD52">
        <f aca="true" t="shared" si="12" ref="AD52:AD61">(1-O52*0.00000687535)^4.2561</f>
        <v>0.9696338748161364</v>
      </c>
      <c r="AE52">
        <f aca="true" t="shared" si="13" ref="AE52:AF61">(1-P52*0.00000687535)^4.2561</f>
        <v>1.025110542820272</v>
      </c>
      <c r="AF52">
        <f t="shared" si="13"/>
        <v>1.0798766417343535</v>
      </c>
    </row>
    <row r="53" spans="1:32" ht="12.75" customHeight="1" hidden="1">
      <c r="A53">
        <v>1900</v>
      </c>
      <c r="B53">
        <v>130</v>
      </c>
      <c r="C53">
        <v>23000</v>
      </c>
      <c r="D53">
        <f t="shared" si="1"/>
        <v>0.4806497176197829</v>
      </c>
      <c r="F53">
        <f t="shared" si="2"/>
        <v>1900</v>
      </c>
      <c r="G53">
        <v>22156</v>
      </c>
      <c r="H53">
        <v>18556</v>
      </c>
      <c r="I53">
        <v>15356</v>
      </c>
      <c r="J53">
        <v>12461</v>
      </c>
      <c r="K53">
        <v>9811</v>
      </c>
      <c r="L53" s="8">
        <v>7361</v>
      </c>
      <c r="M53">
        <v>5144</v>
      </c>
      <c r="N53">
        <v>3000</v>
      </c>
      <c r="O53">
        <v>1000</v>
      </c>
      <c r="P53">
        <v>-900</v>
      </c>
      <c r="Q53" s="1">
        <f>P53-(O53-P53)+100</f>
        <v>-2700</v>
      </c>
      <c r="U53">
        <f t="shared" si="3"/>
        <v>1900</v>
      </c>
      <c r="V53">
        <f t="shared" si="4"/>
        <v>0.4949092656681112</v>
      </c>
      <c r="W53">
        <f t="shared" si="5"/>
        <v>0.5594025118099176</v>
      </c>
      <c r="X53">
        <f t="shared" si="6"/>
        <v>0.6219567397395618</v>
      </c>
      <c r="Y53">
        <f t="shared" si="7"/>
        <v>0.6830347439682682</v>
      </c>
      <c r="Z53">
        <f t="shared" si="8"/>
        <v>0.7428711495506529</v>
      </c>
      <c r="AA53">
        <f t="shared" si="9"/>
        <v>0.8016840730241732</v>
      </c>
      <c r="AB53">
        <f t="shared" si="10"/>
        <v>0.857914444831615</v>
      </c>
      <c r="AC53">
        <f t="shared" si="11"/>
        <v>0.9151159311364798</v>
      </c>
      <c r="AD53">
        <f t="shared" si="12"/>
        <v>0.9710636766087742</v>
      </c>
      <c r="AE53">
        <f t="shared" si="13"/>
        <v>1.0266025067848719</v>
      </c>
      <c r="AF53">
        <f t="shared" si="13"/>
        <v>1.0814292003602022</v>
      </c>
    </row>
    <row r="54" spans="1:32" ht="12.75" customHeight="1" hidden="1">
      <c r="A54">
        <v>2000</v>
      </c>
      <c r="B54">
        <v>138.8</v>
      </c>
      <c r="C54">
        <v>23000</v>
      </c>
      <c r="D54">
        <f t="shared" si="1"/>
        <v>0.4806497176197829</v>
      </c>
      <c r="F54">
        <f t="shared" si="2"/>
        <v>2000</v>
      </c>
      <c r="G54">
        <v>22111</v>
      </c>
      <c r="H54">
        <v>18511</v>
      </c>
      <c r="I54">
        <v>15311</v>
      </c>
      <c r="J54">
        <v>12422</v>
      </c>
      <c r="K54">
        <v>9772</v>
      </c>
      <c r="L54" s="8">
        <v>7322</v>
      </c>
      <c r="M54">
        <v>5089</v>
      </c>
      <c r="N54">
        <v>2950</v>
      </c>
      <c r="O54">
        <v>950</v>
      </c>
      <c r="P54">
        <v>-950</v>
      </c>
      <c r="Q54" s="1">
        <f aca="true" t="shared" si="14" ref="Q54:Q61">P54-(O54-P54)+100</f>
        <v>-2750</v>
      </c>
      <c r="U54">
        <f t="shared" si="3"/>
        <v>2000</v>
      </c>
      <c r="V54">
        <f t="shared" si="4"/>
        <v>0.4956785309135073</v>
      </c>
      <c r="W54">
        <f t="shared" si="5"/>
        <v>0.5602473395921805</v>
      </c>
      <c r="X54">
        <f t="shared" si="6"/>
        <v>0.6228729209180742</v>
      </c>
      <c r="Y54">
        <f t="shared" si="7"/>
        <v>0.6838876873266195</v>
      </c>
      <c r="Z54">
        <f t="shared" si="8"/>
        <v>0.7437806811585332</v>
      </c>
      <c r="AA54">
        <f t="shared" si="9"/>
        <v>0.8026481890121501</v>
      </c>
      <c r="AB54">
        <f t="shared" si="10"/>
        <v>0.8593467259400877</v>
      </c>
      <c r="AC54">
        <f t="shared" si="11"/>
        <v>0.9164838249409758</v>
      </c>
      <c r="AD54">
        <f t="shared" si="12"/>
        <v>0.97249509082591</v>
      </c>
      <c r="AE54">
        <f t="shared" si="13"/>
        <v>1.0280961314197545</v>
      </c>
      <c r="AF54">
        <f t="shared" si="13"/>
        <v>1.082983466094538</v>
      </c>
    </row>
    <row r="55" spans="1:32" ht="12.75" customHeight="1" hidden="1">
      <c r="A55">
        <v>2100</v>
      </c>
      <c r="B55">
        <v>151</v>
      </c>
      <c r="C55">
        <v>23000</v>
      </c>
      <c r="D55">
        <f t="shared" si="1"/>
        <v>0.4806497176197829</v>
      </c>
      <c r="F55">
        <f t="shared" si="2"/>
        <v>2100</v>
      </c>
      <c r="G55">
        <v>22067</v>
      </c>
      <c r="H55">
        <v>18467</v>
      </c>
      <c r="I55">
        <v>15267</v>
      </c>
      <c r="J55">
        <v>12383</v>
      </c>
      <c r="K55">
        <v>9733</v>
      </c>
      <c r="L55" s="8">
        <v>7283</v>
      </c>
      <c r="M55">
        <v>5033</v>
      </c>
      <c r="N55">
        <v>2900</v>
      </c>
      <c r="O55">
        <v>900</v>
      </c>
      <c r="P55">
        <v>-1000</v>
      </c>
      <c r="Q55" s="1">
        <f t="shared" si="14"/>
        <v>-2800</v>
      </c>
      <c r="U55">
        <f t="shared" si="3"/>
        <v>2100</v>
      </c>
      <c r="V55">
        <f t="shared" si="4"/>
        <v>0.49643158555225514</v>
      </c>
      <c r="W55">
        <f t="shared" si="5"/>
        <v>0.5610743368954881</v>
      </c>
      <c r="X55">
        <f t="shared" si="6"/>
        <v>0.6237697404983177</v>
      </c>
      <c r="Y55">
        <f t="shared" si="7"/>
        <v>0.6847414453069252</v>
      </c>
      <c r="Z55">
        <f t="shared" si="8"/>
        <v>0.7446910644594804</v>
      </c>
      <c r="AA55">
        <f t="shared" si="9"/>
        <v>0.8036131917855431</v>
      </c>
      <c r="AB55">
        <f t="shared" si="10"/>
        <v>0.8608069273473645</v>
      </c>
      <c r="AC55">
        <f t="shared" si="11"/>
        <v>0.9178532824766034</v>
      </c>
      <c r="AD55">
        <f t="shared" si="12"/>
        <v>0.9739281187270296</v>
      </c>
      <c r="AE55">
        <f t="shared" si="13"/>
        <v>1.0295914180052472</v>
      </c>
      <c r="AF55">
        <f t="shared" si="13"/>
        <v>1.0845394402374953</v>
      </c>
    </row>
    <row r="56" spans="1:32" ht="12.75" customHeight="1" hidden="1">
      <c r="A56">
        <v>2200</v>
      </c>
      <c r="B56">
        <v>158</v>
      </c>
      <c r="C56">
        <v>23000</v>
      </c>
      <c r="D56">
        <f t="shared" si="1"/>
        <v>0.4806497176197829</v>
      </c>
      <c r="F56">
        <f t="shared" si="2"/>
        <v>2200</v>
      </c>
      <c r="G56">
        <v>22022</v>
      </c>
      <c r="H56">
        <v>18422</v>
      </c>
      <c r="I56">
        <v>15222</v>
      </c>
      <c r="J56">
        <v>12344</v>
      </c>
      <c r="K56">
        <v>9694</v>
      </c>
      <c r="L56" s="8">
        <v>7244</v>
      </c>
      <c r="M56">
        <v>4978</v>
      </c>
      <c r="N56">
        <v>2850</v>
      </c>
      <c r="O56">
        <v>850</v>
      </c>
      <c r="P56">
        <v>-1050</v>
      </c>
      <c r="Q56" s="1">
        <f t="shared" si="14"/>
        <v>-2850</v>
      </c>
      <c r="U56">
        <f t="shared" si="3"/>
        <v>2200</v>
      </c>
      <c r="V56">
        <f t="shared" si="4"/>
        <v>0.49720266007967145</v>
      </c>
      <c r="W56">
        <f t="shared" si="5"/>
        <v>0.5619210952725557</v>
      </c>
      <c r="X56">
        <f t="shared" si="6"/>
        <v>0.624687963797203</v>
      </c>
      <c r="Y56">
        <f t="shared" si="7"/>
        <v>0.6855960184481069</v>
      </c>
      <c r="Z56">
        <f t="shared" si="8"/>
        <v>0.7456023000059327</v>
      </c>
      <c r="AA56">
        <f t="shared" si="9"/>
        <v>0.8045790819093488</v>
      </c>
      <c r="AB56">
        <f t="shared" si="10"/>
        <v>0.8622429006448133</v>
      </c>
      <c r="AC56">
        <f t="shared" si="11"/>
        <v>0.9192243049815317</v>
      </c>
      <c r="AD56">
        <f t="shared" si="12"/>
        <v>0.9753627615721661</v>
      </c>
      <c r="AE56">
        <f t="shared" si="13"/>
        <v>1.0310883678222256</v>
      </c>
      <c r="AF56">
        <f t="shared" si="13"/>
        <v>1.0860971240897594</v>
      </c>
    </row>
    <row r="57" spans="1:32" ht="12.75" customHeight="1" hidden="1">
      <c r="A57">
        <v>2300</v>
      </c>
      <c r="B57">
        <v>168</v>
      </c>
      <c r="C57">
        <v>23000</v>
      </c>
      <c r="D57">
        <f t="shared" si="1"/>
        <v>0.4806497176197829</v>
      </c>
      <c r="F57">
        <f t="shared" si="2"/>
        <v>2300</v>
      </c>
      <c r="G57">
        <v>21978</v>
      </c>
      <c r="H57">
        <v>18378</v>
      </c>
      <c r="I57">
        <v>15178</v>
      </c>
      <c r="J57">
        <v>12306</v>
      </c>
      <c r="K57">
        <v>9656</v>
      </c>
      <c r="L57" s="8">
        <v>7206</v>
      </c>
      <c r="M57">
        <v>4922</v>
      </c>
      <c r="N57">
        <v>2800</v>
      </c>
      <c r="O57">
        <v>800</v>
      </c>
      <c r="P57">
        <v>-1100</v>
      </c>
      <c r="Q57" s="1">
        <f t="shared" si="14"/>
        <v>-2900</v>
      </c>
      <c r="U57">
        <f t="shared" si="3"/>
        <v>2300</v>
      </c>
      <c r="V57">
        <f t="shared" si="4"/>
        <v>0.49795748523427974</v>
      </c>
      <c r="W57">
        <f t="shared" si="5"/>
        <v>0.5627499817616459</v>
      </c>
      <c r="X57">
        <f t="shared" si="6"/>
        <v>0.625586781657866</v>
      </c>
      <c r="Y57">
        <f t="shared" si="7"/>
        <v>0.6864294640480945</v>
      </c>
      <c r="Z57">
        <f t="shared" si="8"/>
        <v>0.7464909908123852</v>
      </c>
      <c r="AA57">
        <f t="shared" si="9"/>
        <v>0.8055210596719704</v>
      </c>
      <c r="AB57">
        <f t="shared" si="10"/>
        <v>0.8637068647256315</v>
      </c>
      <c r="AC57">
        <f t="shared" si="11"/>
        <v>0.9205968936944756</v>
      </c>
      <c r="AD57">
        <f t="shared" si="12"/>
        <v>0.9767990206219003</v>
      </c>
      <c r="AE57">
        <f t="shared" si="13"/>
        <v>1.0325869821521148</v>
      </c>
      <c r="AF57">
        <f t="shared" si="13"/>
        <v>1.0876565189525669</v>
      </c>
    </row>
    <row r="58" spans="1:32" ht="12.75" customHeight="1" hidden="1">
      <c r="A58">
        <v>2400</v>
      </c>
      <c r="B58">
        <f>J33</f>
        <v>176</v>
      </c>
      <c r="C58">
        <v>23000</v>
      </c>
      <c r="D58">
        <f t="shared" si="1"/>
        <v>0.4806497176197829</v>
      </c>
      <c r="F58">
        <f t="shared" si="2"/>
        <v>2400</v>
      </c>
      <c r="G58">
        <v>21933</v>
      </c>
      <c r="H58">
        <v>18333</v>
      </c>
      <c r="I58">
        <v>15133</v>
      </c>
      <c r="J58">
        <v>12267</v>
      </c>
      <c r="K58">
        <v>9617</v>
      </c>
      <c r="L58" s="8">
        <v>7167</v>
      </c>
      <c r="M58">
        <v>4867</v>
      </c>
      <c r="N58">
        <v>2750</v>
      </c>
      <c r="O58">
        <v>750</v>
      </c>
      <c r="P58">
        <v>-1150</v>
      </c>
      <c r="Q58" s="1">
        <f t="shared" si="14"/>
        <v>-2950</v>
      </c>
      <c r="U58">
        <f t="shared" si="3"/>
        <v>2400</v>
      </c>
      <c r="V58">
        <f t="shared" si="4"/>
        <v>0.49873037199006076</v>
      </c>
      <c r="W58">
        <f t="shared" si="5"/>
        <v>0.5635986737882289</v>
      </c>
      <c r="X58">
        <f t="shared" si="6"/>
        <v>0.6265070502288245</v>
      </c>
      <c r="Y58">
        <f t="shared" si="7"/>
        <v>0.6872856481926329</v>
      </c>
      <c r="Z58">
        <f t="shared" si="8"/>
        <v>0.7474039106202605</v>
      </c>
      <c r="AA58">
        <f t="shared" si="9"/>
        <v>0.806488703403764</v>
      </c>
      <c r="AB58">
        <f t="shared" si="10"/>
        <v>0.8651465368016197</v>
      </c>
      <c r="AC58">
        <f t="shared" si="11"/>
        <v>0.9219710498546955</v>
      </c>
      <c r="AD58">
        <f t="shared" si="12"/>
        <v>0.9782368971373604</v>
      </c>
      <c r="AE58">
        <f t="shared" si="13"/>
        <v>1.0340872622768895</v>
      </c>
      <c r="AF58">
        <f t="shared" si="13"/>
        <v>1.0892176261277058</v>
      </c>
    </row>
    <row r="59" spans="1:32" ht="12.75" customHeight="1" hidden="1">
      <c r="A59">
        <v>2500</v>
      </c>
      <c r="B59">
        <f>J34</f>
        <v>184</v>
      </c>
      <c r="C59">
        <v>23000</v>
      </c>
      <c r="D59">
        <f t="shared" si="1"/>
        <v>0.4806497176197829</v>
      </c>
      <c r="F59">
        <f t="shared" si="2"/>
        <v>2500</v>
      </c>
      <c r="G59">
        <v>21889</v>
      </c>
      <c r="H59">
        <v>18289</v>
      </c>
      <c r="I59">
        <v>15089</v>
      </c>
      <c r="J59">
        <v>12228</v>
      </c>
      <c r="K59">
        <v>9578</v>
      </c>
      <c r="L59" s="8">
        <v>7128</v>
      </c>
      <c r="M59">
        <v>4811</v>
      </c>
      <c r="N59">
        <v>2700</v>
      </c>
      <c r="O59">
        <v>700</v>
      </c>
      <c r="P59">
        <v>-1200</v>
      </c>
      <c r="Q59" s="1">
        <f t="shared" si="14"/>
        <v>-3000</v>
      </c>
      <c r="U59">
        <f t="shared" si="3"/>
        <v>2500</v>
      </c>
      <c r="V59">
        <f t="shared" si="4"/>
        <v>0.49948697054270536</v>
      </c>
      <c r="W59">
        <f t="shared" si="5"/>
        <v>0.5644294524512438</v>
      </c>
      <c r="X59">
        <f t="shared" si="6"/>
        <v>0.6274078694528913</v>
      </c>
      <c r="Y59">
        <f t="shared" si="7"/>
        <v>0.6881426491021654</v>
      </c>
      <c r="Z59">
        <f t="shared" si="8"/>
        <v>0.7483176843179714</v>
      </c>
      <c r="AA59">
        <f t="shared" si="9"/>
        <v>0.8074572361676565</v>
      </c>
      <c r="AB59">
        <f t="shared" si="10"/>
        <v>0.8666142702686823</v>
      </c>
      <c r="AC59">
        <f t="shared" si="11"/>
        <v>0.923346774701998</v>
      </c>
      <c r="AD59">
        <f t="shared" si="12"/>
        <v>0.979676392380223</v>
      </c>
      <c r="AE59">
        <f t="shared" si="13"/>
        <v>1.0355892094790742</v>
      </c>
      <c r="AF59">
        <f t="shared" si="13"/>
        <v>1.0907804469175149</v>
      </c>
    </row>
    <row r="60" spans="1:32" ht="12.75" customHeight="1" hidden="1">
      <c r="A60">
        <v>2600</v>
      </c>
      <c r="B60">
        <f>J35</f>
        <v>193</v>
      </c>
      <c r="C60">
        <v>23000</v>
      </c>
      <c r="D60">
        <f t="shared" si="1"/>
        <v>0.4806497176197829</v>
      </c>
      <c r="F60">
        <f t="shared" si="2"/>
        <v>2600</v>
      </c>
      <c r="G60">
        <v>21844</v>
      </c>
      <c r="H60">
        <v>18244</v>
      </c>
      <c r="I60">
        <v>15044</v>
      </c>
      <c r="J60">
        <v>12189</v>
      </c>
      <c r="K60">
        <v>9539</v>
      </c>
      <c r="L60" s="8">
        <v>7089</v>
      </c>
      <c r="M60">
        <v>4756</v>
      </c>
      <c r="N60">
        <v>2650</v>
      </c>
      <c r="O60">
        <v>650</v>
      </c>
      <c r="P60">
        <v>-1250</v>
      </c>
      <c r="Q60" s="1">
        <f t="shared" si="14"/>
        <v>-3050</v>
      </c>
      <c r="U60">
        <f t="shared" si="3"/>
        <v>2600</v>
      </c>
      <c r="V60">
        <f t="shared" si="4"/>
        <v>0.5002616724758647</v>
      </c>
      <c r="W60">
        <f t="shared" si="5"/>
        <v>0.5652800811847418</v>
      </c>
      <c r="X60">
        <f t="shared" si="6"/>
        <v>0.6283301864503283</v>
      </c>
      <c r="Y60">
        <f t="shared" si="7"/>
        <v>0.6890004673164016</v>
      </c>
      <c r="Z60">
        <f t="shared" si="8"/>
        <v>0.7492323124587499</v>
      </c>
      <c r="AA60">
        <f t="shared" si="9"/>
        <v>0.8084266585294415</v>
      </c>
      <c r="AB60">
        <f t="shared" si="10"/>
        <v>0.8680576477193149</v>
      </c>
      <c r="AC60">
        <f t="shared" si="11"/>
        <v>0.9247240694767344</v>
      </c>
      <c r="AD60">
        <f t="shared" si="12"/>
        <v>0.9811175076127109</v>
      </c>
      <c r="AE60">
        <f t="shared" si="13"/>
        <v>1.0370928250417424</v>
      </c>
      <c r="AF60">
        <f t="shared" si="13"/>
        <v>1.0923449826248848</v>
      </c>
    </row>
    <row r="61" spans="1:32" ht="12.75" customHeight="1" hidden="1">
      <c r="A61">
        <v>2700</v>
      </c>
      <c r="B61">
        <f>J36</f>
        <v>200</v>
      </c>
      <c r="C61">
        <v>23000</v>
      </c>
      <c r="D61">
        <f t="shared" si="1"/>
        <v>0.4806497176197829</v>
      </c>
      <c r="F61">
        <f t="shared" si="2"/>
        <v>2700</v>
      </c>
      <c r="G61">
        <v>21800</v>
      </c>
      <c r="H61">
        <v>18200</v>
      </c>
      <c r="I61">
        <v>15000</v>
      </c>
      <c r="J61">
        <v>12150</v>
      </c>
      <c r="K61">
        <v>9500</v>
      </c>
      <c r="L61" s="8">
        <v>7050</v>
      </c>
      <c r="M61">
        <v>4700</v>
      </c>
      <c r="N61">
        <v>2600</v>
      </c>
      <c r="O61">
        <v>600</v>
      </c>
      <c r="P61">
        <v>-1300</v>
      </c>
      <c r="Q61" s="1">
        <f t="shared" si="14"/>
        <v>-3100</v>
      </c>
      <c r="U61">
        <f t="shared" si="3"/>
        <v>2700</v>
      </c>
      <c r="V61">
        <f t="shared" si="4"/>
        <v>0.5010200473113308</v>
      </c>
      <c r="W61">
        <f t="shared" si="5"/>
        <v>0.5661127550124545</v>
      </c>
      <c r="X61">
        <f t="shared" si="6"/>
        <v>0.6292330101234309</v>
      </c>
      <c r="Y61">
        <f t="shared" si="7"/>
        <v>0.6898591033752507</v>
      </c>
      <c r="Z61">
        <f t="shared" si="8"/>
        <v>0.7501477955960262</v>
      </c>
      <c r="AA61">
        <f t="shared" si="9"/>
        <v>0.809396971055112</v>
      </c>
      <c r="AB61">
        <f t="shared" si="10"/>
        <v>0.8695291572919888</v>
      </c>
      <c r="AC61">
        <f t="shared" si="11"/>
        <v>0.9261029354198027</v>
      </c>
      <c r="AD61">
        <f t="shared" si="12"/>
        <v>0.9825602440975961</v>
      </c>
      <c r="AE61">
        <f t="shared" si="13"/>
        <v>1.0385981102485176</v>
      </c>
      <c r="AF61">
        <f t="shared" si="13"/>
        <v>1.0939112345532571</v>
      </c>
    </row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spans="21:31" ht="12.75" customHeight="1" hidden="1">
      <c r="U68">
        <f>A68</f>
        <v>0</v>
      </c>
      <c r="V68">
        <f aca="true" t="shared" si="15" ref="V68:AE72">(1-G68*6.87535*10^-6)^4.2561</f>
        <v>1</v>
      </c>
      <c r="W68">
        <f t="shared" si="15"/>
        <v>1</v>
      </c>
      <c r="X68">
        <f t="shared" si="15"/>
        <v>1</v>
      </c>
      <c r="Y68">
        <f t="shared" si="15"/>
        <v>1</v>
      </c>
      <c r="Z68">
        <f t="shared" si="15"/>
        <v>1</v>
      </c>
      <c r="AA68">
        <f t="shared" si="15"/>
        <v>1</v>
      </c>
      <c r="AB68">
        <f t="shared" si="15"/>
        <v>1</v>
      </c>
      <c r="AC68">
        <f t="shared" si="15"/>
        <v>1</v>
      </c>
      <c r="AD68">
        <f t="shared" si="15"/>
        <v>1</v>
      </c>
      <c r="AE68">
        <f t="shared" si="15"/>
        <v>1</v>
      </c>
    </row>
    <row r="69" spans="21:31" ht="12.75" customHeight="1" hidden="1">
      <c r="U69">
        <f>A69</f>
        <v>0</v>
      </c>
      <c r="V69">
        <f t="shared" si="15"/>
        <v>1</v>
      </c>
      <c r="W69">
        <f t="shared" si="15"/>
        <v>1</v>
      </c>
      <c r="X69">
        <f t="shared" si="15"/>
        <v>1</v>
      </c>
      <c r="Y69">
        <f t="shared" si="15"/>
        <v>1</v>
      </c>
      <c r="Z69">
        <f t="shared" si="15"/>
        <v>1</v>
      </c>
      <c r="AA69">
        <f t="shared" si="15"/>
        <v>1</v>
      </c>
      <c r="AB69">
        <f t="shared" si="15"/>
        <v>1</v>
      </c>
      <c r="AC69">
        <f t="shared" si="15"/>
        <v>1</v>
      </c>
      <c r="AD69">
        <f t="shared" si="15"/>
        <v>1</v>
      </c>
      <c r="AE69">
        <f t="shared" si="15"/>
        <v>1</v>
      </c>
    </row>
    <row r="70" spans="21:31" ht="12.75" customHeight="1" hidden="1">
      <c r="U70">
        <f>A70</f>
        <v>0</v>
      </c>
      <c r="V70">
        <f t="shared" si="15"/>
        <v>1</v>
      </c>
      <c r="W70">
        <f t="shared" si="15"/>
        <v>1</v>
      </c>
      <c r="X70">
        <f t="shared" si="15"/>
        <v>1</v>
      </c>
      <c r="Y70">
        <f t="shared" si="15"/>
        <v>1</v>
      </c>
      <c r="Z70">
        <f t="shared" si="15"/>
        <v>1</v>
      </c>
      <c r="AA70">
        <f t="shared" si="15"/>
        <v>1</v>
      </c>
      <c r="AB70">
        <f t="shared" si="15"/>
        <v>1</v>
      </c>
      <c r="AC70">
        <f t="shared" si="15"/>
        <v>1</v>
      </c>
      <c r="AD70">
        <f t="shared" si="15"/>
        <v>1</v>
      </c>
      <c r="AE70">
        <f t="shared" si="15"/>
        <v>1</v>
      </c>
    </row>
    <row r="71" spans="21:31" ht="12.75" customHeight="1" hidden="1">
      <c r="U71">
        <f>A71</f>
        <v>0</v>
      </c>
      <c r="V71">
        <f t="shared" si="15"/>
        <v>1</v>
      </c>
      <c r="W71">
        <f t="shared" si="15"/>
        <v>1</v>
      </c>
      <c r="X71">
        <f t="shared" si="15"/>
        <v>1</v>
      </c>
      <c r="Y71">
        <f t="shared" si="15"/>
        <v>1</v>
      </c>
      <c r="Z71">
        <f t="shared" si="15"/>
        <v>1</v>
      </c>
      <c r="AA71">
        <f t="shared" si="15"/>
        <v>1</v>
      </c>
      <c r="AB71">
        <f t="shared" si="15"/>
        <v>1</v>
      </c>
      <c r="AC71">
        <f t="shared" si="15"/>
        <v>1</v>
      </c>
      <c r="AD71">
        <f t="shared" si="15"/>
        <v>1</v>
      </c>
      <c r="AE71">
        <f t="shared" si="15"/>
        <v>1</v>
      </c>
    </row>
    <row r="72" spans="21:31" ht="12.75" customHeight="1" hidden="1">
      <c r="U72">
        <f>A72</f>
        <v>0</v>
      </c>
      <c r="V72">
        <f t="shared" si="15"/>
        <v>1</v>
      </c>
      <c r="W72">
        <f t="shared" si="15"/>
        <v>1</v>
      </c>
      <c r="X72">
        <f t="shared" si="15"/>
        <v>1</v>
      </c>
      <c r="Y72">
        <f t="shared" si="15"/>
        <v>1</v>
      </c>
      <c r="Z72">
        <f t="shared" si="15"/>
        <v>1</v>
      </c>
      <c r="AA72">
        <f t="shared" si="15"/>
        <v>1</v>
      </c>
      <c r="AB72">
        <f t="shared" si="15"/>
        <v>1</v>
      </c>
      <c r="AC72">
        <f t="shared" si="15"/>
        <v>1</v>
      </c>
      <c r="AD72">
        <f t="shared" si="15"/>
        <v>1</v>
      </c>
      <c r="AE72">
        <f t="shared" si="15"/>
        <v>1</v>
      </c>
    </row>
    <row r="73" ht="12.75" customHeight="1" hidden="1"/>
    <row r="74" spans="6:31" ht="12.75" customHeight="1" hidden="1">
      <c r="F74" t="s">
        <v>41</v>
      </c>
      <c r="G74">
        <f aca="true" t="shared" si="16" ref="G74:P74">G51</f>
        <v>12</v>
      </c>
      <c r="H74">
        <f t="shared" si="16"/>
        <v>14</v>
      </c>
      <c r="I74">
        <f t="shared" si="16"/>
        <v>16</v>
      </c>
      <c r="J74">
        <f t="shared" si="16"/>
        <v>18</v>
      </c>
      <c r="K74">
        <f t="shared" si="16"/>
        <v>20</v>
      </c>
      <c r="L74">
        <f t="shared" si="16"/>
        <v>22</v>
      </c>
      <c r="M74">
        <f t="shared" si="16"/>
        <v>24</v>
      </c>
      <c r="N74">
        <f t="shared" si="16"/>
        <v>26</v>
      </c>
      <c r="O74">
        <f t="shared" si="16"/>
        <v>28</v>
      </c>
      <c r="P74">
        <f t="shared" si="16"/>
        <v>30</v>
      </c>
      <c r="Q74" s="1">
        <v>32</v>
      </c>
      <c r="V74">
        <f aca="true" t="shared" si="17" ref="V74:AE74">V51</f>
        <v>12</v>
      </c>
      <c r="W74">
        <f t="shared" si="17"/>
        <v>14</v>
      </c>
      <c r="X74">
        <f t="shared" si="17"/>
        <v>16</v>
      </c>
      <c r="Y74">
        <f t="shared" si="17"/>
        <v>18</v>
      </c>
      <c r="Z74">
        <f t="shared" si="17"/>
        <v>20</v>
      </c>
      <c r="AA74">
        <f t="shared" si="17"/>
        <v>22</v>
      </c>
      <c r="AB74">
        <f t="shared" si="17"/>
        <v>24</v>
      </c>
      <c r="AC74">
        <f t="shared" si="17"/>
        <v>26</v>
      </c>
      <c r="AD74">
        <f t="shared" si="17"/>
        <v>28</v>
      </c>
      <c r="AE74">
        <f t="shared" si="17"/>
        <v>30</v>
      </c>
    </row>
    <row r="75" spans="6:31" ht="12.75" customHeight="1" hidden="1">
      <c r="F75">
        <f aca="true" t="shared" si="18" ref="F75:F84">F52</f>
        <v>1800</v>
      </c>
      <c r="G75">
        <f aca="true" t="shared" si="19" ref="G75:Q75">((29.9213*(1-G52*0.00000687535)^5.2561)-G$51)/G$51/$F75*10^5</f>
        <v>2.449277861042814</v>
      </c>
      <c r="H75">
        <f t="shared" si="19"/>
        <v>2.2858413199247756</v>
      </c>
      <c r="I75">
        <f t="shared" si="19"/>
        <v>2.136828924079897</v>
      </c>
      <c r="J75">
        <f t="shared" si="19"/>
        <v>2.0295157617752535</v>
      </c>
      <c r="K75">
        <f t="shared" si="19"/>
        <v>1.9361561802974472</v>
      </c>
      <c r="L75">
        <f t="shared" si="19"/>
        <v>1.8678088476781487</v>
      </c>
      <c r="M75">
        <f t="shared" si="19"/>
        <v>1.6438624048960508</v>
      </c>
      <c r="N75">
        <f t="shared" si="19"/>
        <v>1.6394209706499814</v>
      </c>
      <c r="O75">
        <f t="shared" si="19"/>
        <v>1.5937696914812047</v>
      </c>
      <c r="P75">
        <f t="shared" si="19"/>
        <v>1.5775786120272002</v>
      </c>
      <c r="Q75">
        <f t="shared" si="19"/>
        <v>1.5625254549736571</v>
      </c>
      <c r="U75" t="s">
        <v>42</v>
      </c>
      <c r="V75">
        <f aca="true" t="shared" si="20" ref="V75:AE75">AVERAGE(V57:V61)</f>
        <v>0.4994913095108483</v>
      </c>
      <c r="W75">
        <f t="shared" si="20"/>
        <v>0.564434188839663</v>
      </c>
      <c r="X75">
        <f t="shared" si="20"/>
        <v>0.6274129795826683</v>
      </c>
      <c r="Y75">
        <f t="shared" si="20"/>
        <v>0.688143466406909</v>
      </c>
      <c r="Z75">
        <f t="shared" si="20"/>
        <v>0.7483185387610786</v>
      </c>
      <c r="AA75">
        <f t="shared" si="20"/>
        <v>0.807458125765589</v>
      </c>
      <c r="AB75">
        <f t="shared" si="20"/>
        <v>0.8666108953614475</v>
      </c>
      <c r="AC75">
        <f t="shared" si="20"/>
        <v>0.9233483446295413</v>
      </c>
      <c r="AD75">
        <f t="shared" si="20"/>
        <v>0.979678012369958</v>
      </c>
      <c r="AE75">
        <f t="shared" si="20"/>
        <v>1.0355908778396676</v>
      </c>
    </row>
    <row r="76" spans="6:22" ht="12.75" customHeight="1" hidden="1">
      <c r="F76">
        <f t="shared" si="18"/>
        <v>1900</v>
      </c>
      <c r="G76">
        <f aca="true" t="shared" si="21" ref="G76:Q76">((29.9213*(1-G53*0.00000687535)^5.2561)-G$51)/G$51/$F76*10^5</f>
        <v>2.4235620322204183</v>
      </c>
      <c r="H76">
        <f t="shared" si="21"/>
        <v>2.2655140526503827</v>
      </c>
      <c r="I76">
        <f t="shared" si="21"/>
        <v>2.1216312560724013</v>
      </c>
      <c r="J76">
        <f t="shared" si="21"/>
        <v>2.0068675585514493</v>
      </c>
      <c r="K76">
        <f t="shared" si="21"/>
        <v>1.916641924262925</v>
      </c>
      <c r="L76">
        <f t="shared" si="21"/>
        <v>1.8503325360849687</v>
      </c>
      <c r="M76">
        <f t="shared" si="21"/>
        <v>1.6711682042542768</v>
      </c>
      <c r="N76">
        <f t="shared" si="21"/>
        <v>1.6532125144382637</v>
      </c>
      <c r="O76">
        <f t="shared" si="21"/>
        <v>1.6084980081455391</v>
      </c>
      <c r="P76">
        <f t="shared" si="21"/>
        <v>1.5918498982822613</v>
      </c>
      <c r="Q76">
        <f t="shared" si="21"/>
        <v>1.5763802148922357</v>
      </c>
      <c r="T76" t="s">
        <v>43</v>
      </c>
      <c r="U76" t="e">
        <f>#N/A</f>
        <v>#N/A</v>
      </c>
      <c r="V76" t="e">
        <f>U76*V74+U77</f>
        <v>#N/A</v>
      </c>
    </row>
    <row r="77" spans="6:21" ht="12.75" customHeight="1" hidden="1">
      <c r="F77">
        <f t="shared" si="18"/>
        <v>2000</v>
      </c>
      <c r="G77">
        <f aca="true" t="shared" si="22" ref="G77:Q77">((29.9213*(1-G54*0.00000687535)^5.2561)-G$51)/G$51/$F77*10^5</f>
        <v>2.402799966400522</v>
      </c>
      <c r="H77">
        <f t="shared" si="22"/>
        <v>2.2495232730910315</v>
      </c>
      <c r="I77">
        <f t="shared" si="22"/>
        <v>2.110191123952665</v>
      </c>
      <c r="J77">
        <f t="shared" si="22"/>
        <v>1.9865840407775517</v>
      </c>
      <c r="K77">
        <f t="shared" si="22"/>
        <v>1.899174936307917</v>
      </c>
      <c r="L77">
        <f t="shared" si="22"/>
        <v>1.8346962149089727</v>
      </c>
      <c r="M77">
        <f t="shared" si="22"/>
        <v>1.6939914187710903</v>
      </c>
      <c r="N77">
        <f t="shared" si="22"/>
        <v>1.6657670417133659</v>
      </c>
      <c r="O77">
        <f t="shared" si="22"/>
        <v>1.6218916083462518</v>
      </c>
      <c r="P77">
        <f t="shared" si="22"/>
        <v>1.6048285668432587</v>
      </c>
      <c r="Q77">
        <f t="shared" si="22"/>
        <v>1.5889807235210496</v>
      </c>
      <c r="T77" t="s">
        <v>44</v>
      </c>
      <c r="U77" t="e">
        <f>#N/A</f>
        <v>#N/A</v>
      </c>
    </row>
    <row r="78" spans="6:17" ht="12.75" customHeight="1" hidden="1">
      <c r="F78">
        <f t="shared" si="18"/>
        <v>2100</v>
      </c>
      <c r="G78">
        <f aca="true" t="shared" si="23" ref="G78:Q78">((29.9213*(1-G55*0.00000687535)^5.2561)-G$51)/G$51/$F78*10^5</f>
        <v>2.382033737065519</v>
      </c>
      <c r="H78">
        <f t="shared" si="23"/>
        <v>2.233131756432847</v>
      </c>
      <c r="I78">
        <f t="shared" si="23"/>
        <v>2.0979658927223492</v>
      </c>
      <c r="J78">
        <f t="shared" si="23"/>
        <v>1.9683274870962926</v>
      </c>
      <c r="K78">
        <f t="shared" si="23"/>
        <v>1.8834628350502227</v>
      </c>
      <c r="L78">
        <f t="shared" si="23"/>
        <v>1.8206371092936529</v>
      </c>
      <c r="M78">
        <f t="shared" si="23"/>
        <v>1.716656854103978</v>
      </c>
      <c r="N78">
        <f t="shared" si="23"/>
        <v>1.6772614238970387</v>
      </c>
      <c r="O78">
        <f t="shared" si="23"/>
        <v>1.634141314177336</v>
      </c>
      <c r="P78">
        <f t="shared" si="23"/>
        <v>1.6166994199478901</v>
      </c>
      <c r="Q78">
        <f t="shared" si="23"/>
        <v>1.600506297009231</v>
      </c>
    </row>
    <row r="79" spans="6:17" ht="12.75" customHeight="1" hidden="1">
      <c r="F79">
        <f t="shared" si="18"/>
        <v>2200</v>
      </c>
      <c r="G79">
        <f aca="true" t="shared" si="24" ref="G79:Q79">((29.9213*(1-G56*0.00000687535)^5.2561)-G$51)/G$51/$F79*10^5</f>
        <v>2.365327526124011</v>
      </c>
      <c r="H79">
        <f t="shared" si="24"/>
        <v>2.220330873200052</v>
      </c>
      <c r="I79">
        <f t="shared" si="24"/>
        <v>2.0888922268787216</v>
      </c>
      <c r="J79">
        <f t="shared" si="24"/>
        <v>1.951821580090936</v>
      </c>
      <c r="K79">
        <f t="shared" si="24"/>
        <v>1.8692663994118226</v>
      </c>
      <c r="L79">
        <f t="shared" si="24"/>
        <v>1.8079402216783782</v>
      </c>
      <c r="M79">
        <f t="shared" si="24"/>
        <v>1.7356635634235704</v>
      </c>
      <c r="N79">
        <f t="shared" si="24"/>
        <v>1.6878403740877295</v>
      </c>
      <c r="O79">
        <f t="shared" si="24"/>
        <v>1.6454032529171307</v>
      </c>
      <c r="P79">
        <f t="shared" si="24"/>
        <v>1.6276136595318165</v>
      </c>
      <c r="Q79">
        <f t="shared" si="24"/>
        <v>1.6111036486695753</v>
      </c>
    </row>
    <row r="80" spans="6:17" ht="12.75" customHeight="1" hidden="1">
      <c r="F80">
        <f t="shared" si="18"/>
        <v>2300</v>
      </c>
      <c r="G80">
        <f aca="true" t="shared" si="25" ref="G80:Q80">((29.9213*(1-G57*0.00000687535)^5.2561)-G$51)/G$51/$F80*10^5</f>
        <v>2.3482591717024217</v>
      </c>
      <c r="H80">
        <f t="shared" si="25"/>
        <v>2.2068813822161255</v>
      </c>
      <c r="I80">
        <f t="shared" si="25"/>
        <v>2.0788908828381816</v>
      </c>
      <c r="J80">
        <f t="shared" si="25"/>
        <v>1.9350452181256312</v>
      </c>
      <c r="K80">
        <f t="shared" si="25"/>
        <v>1.8546332734119058</v>
      </c>
      <c r="L80">
        <f t="shared" si="25"/>
        <v>1.7947065844379342</v>
      </c>
      <c r="M80">
        <f t="shared" si="25"/>
        <v>1.7548641619230065</v>
      </c>
      <c r="N80">
        <f t="shared" si="25"/>
        <v>1.6976234380004265</v>
      </c>
      <c r="O80">
        <f t="shared" si="25"/>
        <v>1.6558063993796506</v>
      </c>
      <c r="P80">
        <f t="shared" si="25"/>
        <v>1.6376961916422739</v>
      </c>
      <c r="Q80">
        <f t="shared" si="25"/>
        <v>1.620893976551726</v>
      </c>
    </row>
    <row r="81" spans="6:17" ht="12.75" customHeight="1" hidden="1">
      <c r="F81">
        <f t="shared" si="18"/>
        <v>2400</v>
      </c>
      <c r="G81">
        <f aca="true" t="shared" si="26" ref="G81:Q81">((29.9213*(1-G58*0.00000687535)^5.2561)-G$51)/G$51/$F81*10^5</f>
        <v>2.334610372808305</v>
      </c>
      <c r="H81">
        <f t="shared" si="26"/>
        <v>2.1964838025529794</v>
      </c>
      <c r="I81">
        <f t="shared" si="26"/>
        <v>2.0715985196667805</v>
      </c>
      <c r="J81">
        <f t="shared" si="26"/>
        <v>1.9214664203588498</v>
      </c>
      <c r="K81">
        <f t="shared" si="26"/>
        <v>1.8429793107800057</v>
      </c>
      <c r="L81">
        <f t="shared" si="26"/>
        <v>1.7843006558040588</v>
      </c>
      <c r="M81">
        <f t="shared" si="26"/>
        <v>1.7709946095314755</v>
      </c>
      <c r="N81">
        <f t="shared" si="26"/>
        <v>1.7067102371716698</v>
      </c>
      <c r="O81">
        <f t="shared" si="26"/>
        <v>1.6654582326780045</v>
      </c>
      <c r="P81">
        <f t="shared" si="26"/>
        <v>1.6470511047482144</v>
      </c>
      <c r="Q81">
        <f t="shared" si="26"/>
        <v>1.6299782791219704</v>
      </c>
    </row>
    <row r="82" spans="6:17" ht="12.75" customHeight="1" hidden="1">
      <c r="F82">
        <f t="shared" si="18"/>
        <v>2500</v>
      </c>
      <c r="G82">
        <f aca="true" t="shared" si="27" ref="G82:Q82">((29.9213*(1-G59*0.00000687535)^5.2561)-G$51)/G$51/$F82*10^5</f>
        <v>2.320378590244362</v>
      </c>
      <c r="H82">
        <f t="shared" si="27"/>
        <v>2.1852923198165137</v>
      </c>
      <c r="I82">
        <f t="shared" si="27"/>
        <v>2.0633055143986656</v>
      </c>
      <c r="J82">
        <f t="shared" si="27"/>
        <v>1.9090541986273342</v>
      </c>
      <c r="K82">
        <f t="shared" si="27"/>
        <v>1.8323346968013396</v>
      </c>
      <c r="L82">
        <f t="shared" si="27"/>
        <v>1.7748014274055635</v>
      </c>
      <c r="M82">
        <f t="shared" si="27"/>
        <v>1.7875391423782894</v>
      </c>
      <c r="N82">
        <f t="shared" si="27"/>
        <v>1.7151844537952543</v>
      </c>
      <c r="O82">
        <f t="shared" si="27"/>
        <v>1.6744490353646515</v>
      </c>
      <c r="P82">
        <f t="shared" si="27"/>
        <v>1.6557658332559697</v>
      </c>
      <c r="Q82">
        <f t="shared" si="27"/>
        <v>1.6384413951799994</v>
      </c>
    </row>
    <row r="83" spans="6:17" ht="12.75" customHeight="1" hidden="1">
      <c r="F83">
        <f t="shared" si="18"/>
        <v>2600</v>
      </c>
      <c r="G83">
        <f aca="true" t="shared" si="28" ref="G83:Q83">((29.9213*(1-G60*0.00000687535)^5.2561)-G$51)/G$51/$F83*10^5</f>
        <v>2.3090907000478396</v>
      </c>
      <c r="H83">
        <f t="shared" si="28"/>
        <v>2.1767495351096366</v>
      </c>
      <c r="I83">
        <f t="shared" si="28"/>
        <v>2.0573866638573692</v>
      </c>
      <c r="J83">
        <f t="shared" si="28"/>
        <v>1.8976740216243408</v>
      </c>
      <c r="K83">
        <f t="shared" si="28"/>
        <v>1.8225830374393814</v>
      </c>
      <c r="L83">
        <f t="shared" si="28"/>
        <v>1.7661043455481922</v>
      </c>
      <c r="M83">
        <f t="shared" si="28"/>
        <v>1.8014493239688907</v>
      </c>
      <c r="N83">
        <f t="shared" si="28"/>
        <v>1.7231168959804317</v>
      </c>
      <c r="O83">
        <f t="shared" si="28"/>
        <v>1.6828552004622441</v>
      </c>
      <c r="P83">
        <f t="shared" si="28"/>
        <v>1.6639143602136806</v>
      </c>
      <c r="Q83">
        <f t="shared" si="28"/>
        <v>1.6463551114871324</v>
      </c>
    </row>
    <row r="84" spans="6:17" ht="12.75" customHeight="1" hidden="1">
      <c r="F84">
        <f t="shared" si="18"/>
        <v>2700</v>
      </c>
      <c r="G84">
        <f aca="true" t="shared" si="29" ref="G84:Q84">((29.9213*(1-G61*0.00000687535)^5.2561)-G$51)/G$51/$F84*10^5</f>
        <v>2.2970832843547315</v>
      </c>
      <c r="H84">
        <f t="shared" si="29"/>
        <v>2.1673296969402456</v>
      </c>
      <c r="I84">
        <f t="shared" si="29"/>
        <v>2.05043521366713</v>
      </c>
      <c r="J84">
        <f t="shared" si="29"/>
        <v>1.887211288653947</v>
      </c>
      <c r="K84">
        <f t="shared" si="29"/>
        <v>1.8136251822617102</v>
      </c>
      <c r="L84">
        <f t="shared" si="29"/>
        <v>1.7581203460140196</v>
      </c>
      <c r="M84">
        <f t="shared" si="29"/>
        <v>1.8159125860338536</v>
      </c>
      <c r="N84">
        <f t="shared" si="29"/>
        <v>1.7305678818417938</v>
      </c>
      <c r="O84">
        <f t="shared" si="29"/>
        <v>1.6907418035989419</v>
      </c>
      <c r="P84">
        <f t="shared" si="29"/>
        <v>1.671559708303549</v>
      </c>
      <c r="Q84">
        <f t="shared" si="29"/>
        <v>1.6537805798104546</v>
      </c>
    </row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>
      <c r="A92" t="s">
        <v>45</v>
      </c>
    </row>
    <row r="93" spans="1:8" ht="12.75" customHeight="1" hidden="1">
      <c r="A93" t="str">
        <f>"data for "</f>
        <v>data for </v>
      </c>
      <c r="B93">
        <f>IF(B$8&lt;B14,INDEX(sea_level_data,MATCH(B$8,rpm,1),1),B14-100)</f>
        <v>2400</v>
      </c>
      <c r="F93">
        <f>B93</f>
        <v>2400</v>
      </c>
      <c r="G93">
        <f>F93</f>
        <v>2400</v>
      </c>
      <c r="H93">
        <f>G93</f>
        <v>2400</v>
      </c>
    </row>
    <row r="94" spans="1:8" ht="12.75" customHeight="1" hidden="1">
      <c r="A94" t="str">
        <f>"min MP ("&amp;TEXT(INDEX(sea_level_data,MATCH(B$93,rpm,1),1),"General")&amp;" rpm)"</f>
        <v>min MP (2400 rpm)</v>
      </c>
      <c r="B94">
        <f>INDEX(min_MP,MATCH(B$93,rpm),1)</f>
        <v>17</v>
      </c>
      <c r="F94" s="1">
        <f>INDEX($V$51:$AE$51,1,MATCH($B$9,$V$51:$AE$51))</f>
        <v>22</v>
      </c>
      <c r="G94">
        <f>INDEX($V$51:$AF$51,1,MATCH($B$9,$V$51:$AF$51)+1)</f>
        <v>24</v>
      </c>
      <c r="H94">
        <f>B9</f>
        <v>23</v>
      </c>
    </row>
    <row r="95" spans="1:8" ht="12.75" customHeight="1" hidden="1">
      <c r="A95" t="str">
        <f>"min hp ("&amp;TEXT(INDEX(sea_level_data,MATCH(B$93,rpm,1),1),"General")&amp;" rpm)"</f>
        <v>min hp (2400 rpm)</v>
      </c>
      <c r="B95">
        <f>INDEX(min_hp,MATCH(B$93,rpm),1)</f>
        <v>85</v>
      </c>
      <c r="F95">
        <f>HLOOKUP(F94,$V$51:$AE$61,MATCH(F93,$U$51:$U$61))</f>
        <v>0.806488703403764</v>
      </c>
      <c r="G95">
        <f>HLOOKUP(G94,$V$51:$AE$61,MATCH(G93,$U$51:$U$61))</f>
        <v>0.8651465368016197</v>
      </c>
      <c r="H95">
        <f>F95+(H94-F94)/(G94-F94)*(G95-F95)</f>
        <v>0.8358176201026919</v>
      </c>
    </row>
    <row r="96" spans="1:2" ht="12.75" customHeight="1" hidden="1">
      <c r="A96" t="str">
        <f>"max MP ("&amp;TEXT(INDEX(sea_level_data,MATCH(B$93,rpm,1),1),"General")&amp;" rpm)"</f>
        <v>max MP (2400 rpm)</v>
      </c>
      <c r="B96">
        <f>INDEX(max_MP,MATCH(B$93,rpm),1)</f>
        <v>28.75</v>
      </c>
    </row>
    <row r="97" spans="1:2" ht="12.75" customHeight="1" hidden="1">
      <c r="A97" t="str">
        <f>"max hp ("&amp;TEXT(INDEX(sea_level_data,MATCH(B$93,rpm,1),1),"General")&amp;" rpm)"</f>
        <v>max hp (2400 rpm)</v>
      </c>
      <c r="B97">
        <f>INDEX(max_hp,MATCH(B$93,rpm),1)</f>
        <v>176</v>
      </c>
    </row>
    <row r="98" ht="12.75" customHeight="1" hidden="1"/>
    <row r="99" spans="1:8" ht="12.75" customHeight="1" hidden="1">
      <c r="A99" t="str">
        <f>"data for "</f>
        <v>data for </v>
      </c>
      <c r="B99">
        <f>INDEX(sea_level_data,MATCH(B$8,rpm,1)+1,1)</f>
        <v>2500</v>
      </c>
      <c r="F99">
        <f>B99</f>
        <v>2500</v>
      </c>
      <c r="G99">
        <f>F99</f>
        <v>2500</v>
      </c>
      <c r="H99">
        <f>G99</f>
        <v>2500</v>
      </c>
    </row>
    <row r="100" spans="1:8" ht="12.75" customHeight="1" hidden="1">
      <c r="A100" t="str">
        <f>"min MP ("&amp;TEXT(INDEX(sea_level_data,MATCH(B$8,rpm,1)+1,1),"General")&amp;" rpm)"</f>
        <v>min MP (2500 rpm)</v>
      </c>
      <c r="B100">
        <f>INDEX(sea_level_data,MATCH(B$8,rpm,1)+1,2)</f>
        <v>17</v>
      </c>
      <c r="F100" s="1">
        <f>INDEX($V$51:$AE$51,1,MATCH($B$9,$V$51:$AE$51))</f>
        <v>22</v>
      </c>
      <c r="G100">
        <f>INDEX($V$51:$AF$51,1,MATCH($B$9,$V$51:$AF$51)+1)</f>
        <v>24</v>
      </c>
      <c r="H100">
        <f>B9</f>
        <v>23</v>
      </c>
    </row>
    <row r="101" spans="1:8" ht="12.75" customHeight="1" hidden="1">
      <c r="A101" t="str">
        <f>"min hp ("&amp;TEXT(INDEX(sea_level_data,MATCH(B$8,rpm,1)+1,1),"General")&amp;" rpm)"</f>
        <v>min hp (2500 rpm)</v>
      </c>
      <c r="B101">
        <f>INDEX(sea_level_data,MATCH(B$8,rpm,1)+1,3)</f>
        <v>90</v>
      </c>
      <c r="F101">
        <f>HLOOKUP(F100,$V$51:$AE$61,MATCH(F99,$U$51:$U$61))</f>
        <v>0.8074572361676565</v>
      </c>
      <c r="G101">
        <f>HLOOKUP(G100,$V$51:$AE$61,MATCH(G99,$U$51:$U$61))</f>
        <v>0.8666142702686823</v>
      </c>
      <c r="H101">
        <f>F101+(H100-F100)/(G100-F100)*(G101-F101)</f>
        <v>0.8370357532181694</v>
      </c>
    </row>
    <row r="102" spans="1:2" ht="12.75" customHeight="1" hidden="1">
      <c r="A102" t="str">
        <f>"max MP ("&amp;TEXT(INDEX(sea_level_data,MATCH(B$8,rpm,1)+1,1),"General")&amp;" rpm)"</f>
        <v>max MP (2500 rpm)</v>
      </c>
      <c r="B102">
        <f>INDEX(sea_level_data,MATCH(B$8,rpm,1)+1,4)</f>
        <v>28.7</v>
      </c>
    </row>
    <row r="103" spans="1:6" ht="12.75" customHeight="1" hidden="1">
      <c r="A103" t="str">
        <f>"max hp ("&amp;TEXT(INDEX(sea_level_data,MATCH(B$8,rpm,1)+1,1),"General")&amp;" rpm)"</f>
        <v>max hp (2500 rpm)</v>
      </c>
      <c r="B103">
        <f>INDEX(sea_level_data,MATCH(B$8,rpm,1)+1,5)</f>
        <v>184</v>
      </c>
      <c r="F103">
        <f>B8</f>
        <v>2450</v>
      </c>
    </row>
    <row r="104" ht="12.75" customHeight="1" hidden="1">
      <c r="F104">
        <f>B9</f>
        <v>23</v>
      </c>
    </row>
    <row r="105" spans="1:6" ht="12.75" customHeight="1" hidden="1">
      <c r="A105" t="str">
        <f>"sea level hp at "&amp;TEXT(INDEX(sea_level_data,MATCH(B$8,rpm,1),1),"General")&amp;" rpm"</f>
        <v>sea level hp at 2400 rpm</v>
      </c>
      <c r="B105">
        <f>B95+(B9-B94)/(B96-B94)*(B97-B95)</f>
        <v>131.46808510638297</v>
      </c>
      <c r="F105">
        <f>IF(H99=H93,H95,H95+(F103-H93)/(H99-H93)*(H101-H95))</f>
        <v>0.8364266866604306</v>
      </c>
    </row>
    <row r="106" spans="1:2" ht="12.75" customHeight="1" hidden="1">
      <c r="A106" t="str">
        <f>"sea level hp at "&amp;TEXT(INDEX(sea_level_data,MATCH(B$8,rpm,1)+1,1),"General")&amp;" rpm"</f>
        <v>sea level hp at 2500 rpm</v>
      </c>
      <c r="B106">
        <f>B101+(B9-B100)/(B102-B100)*(B103-B101)</f>
        <v>138.2051282051282</v>
      </c>
    </row>
    <row r="107" spans="6:8" ht="12.75" customHeight="1" hidden="1">
      <c r="F107">
        <f>F93</f>
        <v>2400</v>
      </c>
      <c r="G107">
        <f>F99</f>
        <v>2500</v>
      </c>
      <c r="H107">
        <f>B8</f>
        <v>2450</v>
      </c>
    </row>
    <row r="108" spans="1:8" ht="12.75" customHeight="1" hidden="1">
      <c r="A108" t="str">
        <f>"sea level hp at "&amp;TEXT(B8,"General")&amp;" rpm"</f>
        <v>sea level hp at 2450 rpm</v>
      </c>
      <c r="B108">
        <f>IF(B99=B93,B105,B105+(B8-B93)/(B99-B93)*(B106-B105))</f>
        <v>134.8366066557556</v>
      </c>
      <c r="F108">
        <v>1</v>
      </c>
      <c r="G108">
        <v>1</v>
      </c>
      <c r="H108">
        <v>1</v>
      </c>
    </row>
    <row r="109" spans="6:8" ht="12.75" customHeight="1" hidden="1">
      <c r="F109">
        <f>INDEX(hp_at_sea_level,MATCH(F107,rpm_at_altitude),1)</f>
        <v>176</v>
      </c>
      <c r="G109">
        <f>INDEX(hp_at_sea_level,MATCH(G107,rpm_at_altitude),1)</f>
        <v>184</v>
      </c>
      <c r="H109">
        <f>IF(F$107=G$107,G109,F109+(H$107-F$107)/(G$107-F$107)*(G109-F109))</f>
        <v>180</v>
      </c>
    </row>
    <row r="110" spans="6:8" ht="12.75" customHeight="1" hidden="1">
      <c r="F110">
        <f>INDEX(hp_at_ALT2,MATCH(F107,rpm_at_altitude),1)</f>
        <v>70.6</v>
      </c>
      <c r="G110">
        <f>INDEX(hp_at_ALT2,MATCH(G107,rpm_at_altitude),1)</f>
        <v>76</v>
      </c>
      <c r="H110">
        <f>IF(F$107=G$107,G110,F110+(H$107-F$107)/(G$107-F$107)*(G110-F110))</f>
        <v>73.3</v>
      </c>
    </row>
    <row r="111" spans="6:8" ht="12.75" customHeight="1" hidden="1">
      <c r="F111">
        <f>INDEX(density_ration_at_ALT2,MATCH(F107,rpm_at_altitude),1)</f>
        <v>0.4806497176197829</v>
      </c>
      <c r="G111">
        <f>INDEX(density_ration_at_ALT2,MATCH(G107,rpm_at_altitude),1)</f>
        <v>0.4806497176197829</v>
      </c>
      <c r="H111">
        <f>INDEX(density_ration_at_ALT2,MATCH(H107,rpm_at_altitude),1)</f>
        <v>0.4806497176197829</v>
      </c>
    </row>
    <row r="112" ht="12.75" customHeight="1" hidden="1"/>
    <row r="113" ht="12.75" customHeight="1" hidden="1">
      <c r="F113">
        <f>F105</f>
        <v>0.8364266866604306</v>
      </c>
    </row>
    <row r="114" ht="12.75" customHeight="1" hidden="1">
      <c r="F114">
        <f>H109+(F113-H108)/(H111-H108)*(H110-H109)</f>
        <v>146.39402513975244</v>
      </c>
    </row>
    <row r="115" ht="12.75" customHeight="1" hidden="1"/>
    <row r="116" ht="12.75" customHeight="1" hidden="1">
      <c r="A116" t="s">
        <v>52</v>
      </c>
    </row>
    <row r="117" spans="1:2" ht="12.75" customHeight="1" hidden="1">
      <c r="A117" t="s">
        <v>53</v>
      </c>
      <c r="B117">
        <f>(1-B7*6.87535*10^-6)^4.2561</f>
        <v>0.7860132071886506</v>
      </c>
    </row>
    <row r="118" spans="1:2" ht="12.75" customHeight="1" hidden="1">
      <c r="A118" t="s">
        <v>50</v>
      </c>
      <c r="B118">
        <v>1</v>
      </c>
    </row>
    <row r="119" spans="1:2" ht="12.75" customHeight="1" hidden="1">
      <c r="A119" t="s">
        <v>37</v>
      </c>
      <c r="B119">
        <f>B108</f>
        <v>134.8366066557556</v>
      </c>
    </row>
    <row r="120" spans="1:2" ht="12.75" customHeight="1" hidden="1">
      <c r="A120" t="s">
        <v>48</v>
      </c>
      <c r="B120">
        <f>F113</f>
        <v>0.8364266866604306</v>
      </c>
    </row>
    <row r="121" spans="1:2" ht="12.75" customHeight="1" hidden="1">
      <c r="A121" t="s">
        <v>51</v>
      </c>
      <c r="B121">
        <f>F114</f>
        <v>146.39402513975244</v>
      </c>
    </row>
    <row r="122" spans="1:2" ht="12.75" customHeight="1" hidden="1">
      <c r="A122" t="s">
        <v>54</v>
      </c>
      <c r="B122">
        <f>B119+(B117-B118)/(B120-B118)*(B121-B119)</f>
        <v>149.9560345384384</v>
      </c>
    </row>
    <row r="123" ht="12.75" customHeight="1" hidden="1"/>
    <row r="124" ht="12.75" customHeight="1" hidden="1">
      <c r="A124" t="s">
        <v>55</v>
      </c>
    </row>
    <row r="125" spans="1:2" ht="12.75" customHeight="1" hidden="1">
      <c r="A125" t="s">
        <v>56</v>
      </c>
      <c r="B125">
        <f>IF(temp_unit="c",temp_actual,IF(temp_unit="f",(temp_actual-32)/1.8,"Invalid temp units in cell B7"))</f>
        <v>-9</v>
      </c>
    </row>
    <row r="126" spans="1:2" ht="12.75" customHeight="1" hidden="1">
      <c r="A126" t="s">
        <v>57</v>
      </c>
      <c r="B126">
        <f>15-0.0019812*B7</f>
        <v>-0.8495999999999988</v>
      </c>
    </row>
    <row r="127" spans="1:3" ht="12.75" customHeight="1" hidden="1">
      <c r="A127" t="s">
        <v>58</v>
      </c>
      <c r="B127">
        <f>B122*SQRT((B126+273.15)/(B125+273.15))</f>
        <v>152.25192049121455</v>
      </c>
      <c r="C127" t="s">
        <v>59</v>
      </c>
    </row>
    <row r="128" ht="12.75" customHeight="1" hidden="1"/>
    <row r="129" spans="1:2" ht="12.75" customHeight="1" hidden="1">
      <c r="A129" t="s">
        <v>60</v>
      </c>
      <c r="B129">
        <f>B126-20/1.8</f>
        <v>-11.96071111111111</v>
      </c>
    </row>
    <row r="130" spans="1:2" ht="12.75" customHeight="1" hidden="1">
      <c r="A130" t="s">
        <v>61</v>
      </c>
      <c r="B130">
        <f>B122*SQRT((B126+273.15)/(B129+273.15))</f>
        <v>153.11241463111088</v>
      </c>
    </row>
    <row r="131" ht="12.75" customHeight="1" hidden="1"/>
    <row r="132" spans="1:2" ht="12.75" customHeight="1" hidden="1">
      <c r="A132" t="s">
        <v>62</v>
      </c>
      <c r="B132">
        <f>B126+20/1.8</f>
        <v>10.261511111111112</v>
      </c>
    </row>
    <row r="133" spans="1:2" ht="12.75" customHeight="1" hidden="1">
      <c r="A133" t="s">
        <v>63</v>
      </c>
      <c r="B133">
        <f>B122*SQRT((B126+273.15)/(B132+273.15))</f>
        <v>146.98714150779077</v>
      </c>
    </row>
    <row r="134" ht="12.75" customHeight="1" hidden="1"/>
    <row r="135" ht="12.75" customHeight="1"/>
  </sheetData>
  <sheetProtection sheet="1" objects="1" scenarios="1"/>
  <printOptions gridLines="1" headings="1"/>
  <pageMargins left="0.7479166666666667" right="0.7479166666666667" top="0.69375" bottom="0.69375" header="0.5" footer="0.5"/>
  <pageSetup firstPageNumber="72" useFirstPageNumber="1" horizontalDpi="300" verticalDpi="300" orientation="portrait"/>
  <headerFooter alignWithMargins="0">
    <oddHeader>&amp;L&amp;10io360apwr98.xls</oddHeader>
    <oddFooter>&amp;L&amp;10Page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5546875" defaultRowHeight="15"/>
  <sheetData>
    <row r="1" ht="15.75">
      <c r="A1" s="2" t="s">
        <v>66</v>
      </c>
    </row>
    <row r="3" ht="15.75">
      <c r="A3" t="s">
        <v>67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7</v>
      </c>
    </row>
    <row r="8" ht="15.75">
      <c r="A8" s="1" t="s">
        <v>8</v>
      </c>
    </row>
    <row r="9" ht="15.75">
      <c r="A9" s="1" t="s">
        <v>10</v>
      </c>
    </row>
    <row r="10" ht="15.75">
      <c r="A10" s="1" t="s">
        <v>12</v>
      </c>
    </row>
    <row r="11" ht="15.75">
      <c r="A11" s="1" t="s">
        <v>13</v>
      </c>
    </row>
    <row r="12" ht="15.75">
      <c r="A12" s="1" t="s">
        <v>16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C9" sqref="C9"/>
    </sheetView>
  </sheetViews>
  <sheetFormatPr defaultColWidth="11.5546875" defaultRowHeight="15"/>
  <sheetData>
    <row r="1" ht="18">
      <c r="A1" s="13" t="s">
        <v>19</v>
      </c>
    </row>
    <row r="2" ht="15.75">
      <c r="A2" s="1"/>
    </row>
    <row r="3" spans="1:3" ht="15.75">
      <c r="A3" s="14" t="s">
        <v>68</v>
      </c>
      <c r="B3" s="14" t="s">
        <v>69</v>
      </c>
      <c r="C3" s="14" t="s">
        <v>66</v>
      </c>
    </row>
    <row r="4" spans="1:3" ht="15.75">
      <c r="A4" s="4">
        <v>1</v>
      </c>
      <c r="B4" s="15">
        <v>36160</v>
      </c>
      <c r="C4" s="3" t="s">
        <v>73</v>
      </c>
    </row>
    <row r="5" spans="1:3" ht="15.75">
      <c r="A5" s="4">
        <v>1.01</v>
      </c>
      <c r="B5" s="15">
        <v>36162</v>
      </c>
      <c r="C5" s="3" t="s">
        <v>72</v>
      </c>
    </row>
    <row r="6" spans="1:3" ht="15.75">
      <c r="A6" s="4">
        <v>1.02</v>
      </c>
      <c r="B6" s="15">
        <v>36163</v>
      </c>
      <c r="C6" s="3" t="s">
        <v>71</v>
      </c>
    </row>
    <row r="7" spans="1:3" ht="15.75">
      <c r="A7" s="3">
        <v>1.03</v>
      </c>
      <c r="B7" s="15">
        <v>40794</v>
      </c>
      <c r="C7" s="9" t="s">
        <v>70</v>
      </c>
    </row>
    <row r="8" spans="1:3" ht="15.75">
      <c r="A8" s="1">
        <v>1.04</v>
      </c>
      <c r="B8" s="15">
        <v>40905</v>
      </c>
      <c r="C8" s="9" t="s">
        <v>75</v>
      </c>
    </row>
    <row r="9" spans="1:3" ht="15.75">
      <c r="A9" s="1">
        <v>2</v>
      </c>
      <c r="B9" s="15">
        <v>40906</v>
      </c>
      <c r="C9" s="9" t="s">
        <v>83</v>
      </c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t="s">
        <v>40</v>
      </c>
    </row>
    <row r="37" ht="15.75">
      <c r="A37" s="1">
        <v>46</v>
      </c>
    </row>
    <row r="38" ht="15.75">
      <c r="A38" s="1">
        <v>51.5</v>
      </c>
    </row>
    <row r="39" ht="15.75">
      <c r="A39" s="1">
        <v>56</v>
      </c>
    </row>
    <row r="40" ht="15.75">
      <c r="A40" s="1">
        <v>59.9</v>
      </c>
    </row>
    <row r="41" ht="15.75">
      <c r="A41" s="1">
        <v>63.8</v>
      </c>
    </row>
    <row r="42" ht="15.75">
      <c r="A42">
        <v>66.2</v>
      </c>
    </row>
    <row r="43" ht="15.75">
      <c r="A43">
        <v>70.6</v>
      </c>
    </row>
    <row r="44" ht="15.75">
      <c r="A44">
        <v>76</v>
      </c>
    </row>
    <row r="45" ht="15.75">
      <c r="A45">
        <v>78.6</v>
      </c>
    </row>
    <row r="46" ht="15.75">
      <c r="A46">
        <v>81.8</v>
      </c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t="s">
        <v>46</v>
      </c>
    </row>
    <row r="78" ht="15.75">
      <c r="A78" t="str">
        <f>"data for (rpm)"</f>
        <v>data for (rpm)</v>
      </c>
    </row>
    <row r="79" ht="15.75">
      <c r="A79" t="s">
        <v>47</v>
      </c>
    </row>
    <row r="80" ht="15.75">
      <c r="A80" t="s">
        <v>48</v>
      </c>
    </row>
    <row r="81" ht="15.75">
      <c r="A81" s="1"/>
    </row>
    <row r="82" ht="15.75">
      <c r="A82" s="1"/>
    </row>
    <row r="83" ht="15.75">
      <c r="A83" s="1"/>
    </row>
    <row r="84" ht="15.75">
      <c r="A84" t="str">
        <f>"data for (rpm)"</f>
        <v>data for (rpm)</v>
      </c>
    </row>
    <row r="85" ht="15.75">
      <c r="A85" t="s">
        <v>47</v>
      </c>
    </row>
    <row r="86" ht="15.75">
      <c r="A86" t="s">
        <v>48</v>
      </c>
    </row>
    <row r="87" ht="15.75">
      <c r="A87" s="1"/>
    </row>
    <row r="88" ht="15.75">
      <c r="A88" t="str">
        <f>"data for (rpm)"</f>
        <v>data for (rpm)</v>
      </c>
    </row>
    <row r="89" ht="15.75">
      <c r="A89" t="s">
        <v>47</v>
      </c>
    </row>
    <row r="90" ht="15.75">
      <c r="A90" t="s">
        <v>48</v>
      </c>
    </row>
    <row r="91" ht="15.75">
      <c r="A91" s="1"/>
    </row>
    <row r="92" ht="15.75">
      <c r="A92" t="s">
        <v>49</v>
      </c>
    </row>
    <row r="93" ht="15.75">
      <c r="A93" t="s">
        <v>50</v>
      </c>
    </row>
    <row r="94" ht="15.75">
      <c r="A94" t="s">
        <v>37</v>
      </c>
    </row>
    <row r="95" ht="15.75">
      <c r="A95" t="s">
        <v>40</v>
      </c>
    </row>
    <row r="96" ht="15.75">
      <c r="A96" t="s">
        <v>39</v>
      </c>
    </row>
    <row r="97" ht="15.75">
      <c r="A97" s="1"/>
    </row>
    <row r="98" ht="15.75">
      <c r="A98" t="s">
        <v>48</v>
      </c>
    </row>
    <row r="99" ht="15.75">
      <c r="A99" t="s">
        <v>51</v>
      </c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3" t="s">
        <v>65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Horton</cp:lastModifiedBy>
  <dcterms:created xsi:type="dcterms:W3CDTF">2015-12-30T11:46:54Z</dcterms:created>
  <dcterms:modified xsi:type="dcterms:W3CDTF">2015-12-30T12:25:55Z</dcterms:modified>
  <cp:category/>
  <cp:version/>
  <cp:contentType/>
  <cp:contentStatus/>
</cp:coreProperties>
</file>